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1、PPP在手或经手业务\1、内蒙古地区\16、九原工业园区一期综合开发招标代理\招标文件\招标文件\测算模型\上系统版\"/>
    </mc:Choice>
  </mc:AlternateContent>
  <bookViews>
    <workbookView xWindow="0" yWindow="492" windowWidth="28800" windowHeight="16620" firstSheet="17" activeTab="21"/>
  </bookViews>
  <sheets>
    <sheet name="附图" sheetId="41" state="hidden" r:id="rId1"/>
    <sheet name="Sheet1" sheetId="48" state="hidden" r:id="rId2"/>
    <sheet name="项目清单" sheetId="38" state="hidden" r:id="rId3"/>
    <sheet name="方案附表" sheetId="40" state="hidden" r:id="rId4"/>
    <sheet name="Sheet3" sheetId="54" state="hidden" r:id="rId5"/>
    <sheet name="可研资料整理" sheetId="37" state="hidden" r:id="rId6"/>
    <sheet name="1-1投资估算表--子项目" sheetId="3" state="hidden" r:id="rId7"/>
    <sheet name="2-1投资计划表--子项目" sheetId="5" state="hidden" r:id="rId8"/>
    <sheet name="2-1投资计划表--分子项" sheetId="39" state="hidden" r:id="rId9"/>
    <sheet name="3资产及税金估算表" sheetId="6" state="hidden" r:id="rId10"/>
    <sheet name="3-1资产及税金估算表--子项目" sheetId="7" state="hidden" r:id="rId11"/>
    <sheet name="3-2折旧摊销" sheetId="8" state="hidden" r:id="rId12"/>
    <sheet name="3-2-1折旧摊销--子项目" sheetId="9" state="hidden" r:id="rId13"/>
    <sheet name="4还本付息计划表" sheetId="10" state="hidden" r:id="rId14"/>
    <sheet name="4-1还本付息计划表--子项目" sheetId="11" state="hidden" r:id="rId15"/>
    <sheet name="2总成本估算表" sheetId="12" state="hidden" r:id="rId16"/>
    <sheet name="5-2成本估算--附表" sheetId="47" state="hidden" r:id="rId17"/>
    <sheet name="1投资估算" sheetId="2" r:id="rId18"/>
    <sheet name="2运营成本报价" sheetId="51" r:id="rId19"/>
    <sheet name="5-1运营成本--各子项目内容" sheetId="15" state="hidden" r:id="rId20"/>
    <sheet name="3使用者付费收入" sheetId="13" r:id="rId21"/>
    <sheet name="4停车场项目的运营成本及收入" sheetId="52" r:id="rId22"/>
    <sheet name="6-1使用者付费收入--方案附表" sheetId="45" state="hidden" r:id="rId23"/>
    <sheet name="2投资计划表" sheetId="4" state="hidden" r:id="rId24"/>
    <sheet name="5政府补贴测算" sheetId="14" r:id="rId25"/>
    <sheet name="7-1政府补贴测算--方案附表" sheetId="33" state="hidden" r:id="rId26"/>
    <sheet name="检验" sheetId="29" state="hidden" r:id="rId27"/>
    <sheet name="8税金及附加" sheetId="18" state="hidden" r:id="rId28"/>
    <sheet name="9利润与利润分配表" sheetId="16" state="hidden" r:id="rId29"/>
    <sheet name="10全投资现金流量表" sheetId="19" state="hidden" r:id="rId30"/>
    <sheet name="11资本金现金流量表" sheetId="20" state="hidden" r:id="rId31"/>
    <sheet name="12计划现金流量表" sheetId="21" state="hidden" r:id="rId32"/>
    <sheet name="13资产负债表" sheetId="22" state="hidden" r:id="rId33"/>
    <sheet name="14投资各方现金流量表" sheetId="23" state="hidden" r:id="rId34"/>
    <sheet name="15PSC值估算" sheetId="24" state="hidden" r:id="rId35"/>
    <sheet name="风险承担支出责任表" sheetId="46" state="hidden" r:id="rId36"/>
    <sheet name="16PPP值估算" sheetId="25" state="hidden" r:id="rId37"/>
    <sheet name="17财政承受能力论证" sheetId="28" state="hidden" r:id="rId38"/>
    <sheet name="Sheet2" sheetId="53" state="hidden" r:id="rId39"/>
    <sheet name="物有所值评价定量分析" sheetId="26" state="hidden" r:id="rId40"/>
    <sheet name="财承简表" sheetId="27" state="hidden" r:id="rId41"/>
    <sheet name="财承简表--方案附表" sheetId="34" state="hidden" r:id="rId42"/>
  </sheets>
  <definedNames>
    <definedName name="_xlnm._FilterDatabase" localSheetId="1" hidden="1">Sheet1!$B$3:$G$3</definedName>
  </definedNames>
  <calcPr calcId="152511"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H17" i="4"/>
  <c r="D18" i="51"/>
  <c r="D19" i="51"/>
  <c r="D20" i="51"/>
  <c r="D8" i="2"/>
  <c r="D9" i="2"/>
  <c r="D11" i="2"/>
  <c r="D4" i="2"/>
  <c r="G7" i="52"/>
  <c r="H12" i="13"/>
  <c r="D4" i="13"/>
  <c r="G23" i="13"/>
  <c r="H10" i="13"/>
  <c r="G24" i="13"/>
  <c r="H11" i="13"/>
  <c r="H13" i="13"/>
  <c r="J9" i="14"/>
  <c r="I12" i="13"/>
  <c r="I10" i="13"/>
  <c r="I11" i="13"/>
  <c r="I13" i="13"/>
  <c r="K9" i="14"/>
  <c r="J12" i="13"/>
  <c r="J10" i="13"/>
  <c r="J11" i="13"/>
  <c r="J13" i="13"/>
  <c r="L9" i="14"/>
  <c r="K12" i="13"/>
  <c r="K10" i="13"/>
  <c r="K11" i="13"/>
  <c r="K13" i="13"/>
  <c r="M9" i="14"/>
  <c r="L12" i="13"/>
  <c r="L10" i="13"/>
  <c r="L11" i="13"/>
  <c r="L13" i="13"/>
  <c r="N9" i="14"/>
  <c r="M12" i="13"/>
  <c r="M10" i="13"/>
  <c r="M11" i="13"/>
  <c r="M13" i="13"/>
  <c r="O9" i="14"/>
  <c r="N12" i="13"/>
  <c r="N10" i="13"/>
  <c r="N11" i="13"/>
  <c r="N13" i="13"/>
  <c r="P9" i="14"/>
  <c r="O12" i="13"/>
  <c r="O10" i="13"/>
  <c r="O11" i="13"/>
  <c r="O13" i="13"/>
  <c r="Q9" i="14"/>
  <c r="P12" i="13"/>
  <c r="P10" i="13"/>
  <c r="P11" i="13"/>
  <c r="P13" i="13"/>
  <c r="R9" i="14"/>
  <c r="Q12" i="13"/>
  <c r="Q10" i="13"/>
  <c r="Q11" i="13"/>
  <c r="Q13" i="13"/>
  <c r="G15" i="14"/>
  <c r="R12" i="13"/>
  <c r="R10" i="13"/>
  <c r="R11" i="13"/>
  <c r="R13" i="13"/>
  <c r="H15" i="14"/>
  <c r="S12" i="13"/>
  <c r="S10" i="13"/>
  <c r="S11" i="13"/>
  <c r="S13" i="13"/>
  <c r="I15" i="14"/>
  <c r="T12" i="13"/>
  <c r="T10" i="13"/>
  <c r="T11" i="13"/>
  <c r="T13" i="13"/>
  <c r="J15" i="14"/>
  <c r="U12" i="13"/>
  <c r="U10" i="13"/>
  <c r="U11" i="13"/>
  <c r="U13" i="13"/>
  <c r="K15" i="14"/>
  <c r="V12" i="13"/>
  <c r="V10" i="13"/>
  <c r="V11" i="13"/>
  <c r="V13" i="13"/>
  <c r="L15" i="14"/>
  <c r="W12" i="13"/>
  <c r="W10" i="13"/>
  <c r="W11" i="13"/>
  <c r="W13" i="13"/>
  <c r="M15" i="14"/>
  <c r="X12" i="13"/>
  <c r="X10" i="13"/>
  <c r="X11" i="13"/>
  <c r="X13" i="13"/>
  <c r="N15" i="14"/>
  <c r="Y12" i="13"/>
  <c r="Y10" i="13"/>
  <c r="Y11" i="13"/>
  <c r="Y13" i="13"/>
  <c r="O15" i="14"/>
  <c r="Z12" i="13"/>
  <c r="Z10" i="13"/>
  <c r="Z11" i="13"/>
  <c r="Z13" i="13"/>
  <c r="P15" i="14"/>
  <c r="AA12" i="13"/>
  <c r="AA10" i="13"/>
  <c r="AA11" i="13"/>
  <c r="AA13" i="13"/>
  <c r="Q15" i="14"/>
  <c r="F9" i="14"/>
  <c r="D12" i="52"/>
  <c r="D13" i="52"/>
  <c r="D14" i="52"/>
  <c r="I10" i="12"/>
  <c r="F16" i="51"/>
  <c r="F6" i="51"/>
  <c r="F7" i="51"/>
  <c r="F8" i="51"/>
  <c r="F9" i="51"/>
  <c r="F10" i="51"/>
  <c r="I5" i="12"/>
  <c r="G4" i="51"/>
  <c r="G5" i="51"/>
  <c r="F17" i="51"/>
  <c r="G6" i="51"/>
  <c r="G9" i="51"/>
  <c r="G10" i="51"/>
  <c r="I6" i="12"/>
  <c r="H4" i="51"/>
  <c r="E18" i="51"/>
  <c r="H5" i="51"/>
  <c r="F18" i="51"/>
  <c r="H6" i="51"/>
  <c r="H9" i="51"/>
  <c r="H10" i="51"/>
  <c r="I7" i="12"/>
  <c r="I4" i="51"/>
  <c r="E19" i="51"/>
  <c r="I5" i="51"/>
  <c r="F19" i="51"/>
  <c r="I6" i="51"/>
  <c r="I9" i="51"/>
  <c r="I10" i="51"/>
  <c r="I8" i="12"/>
  <c r="J4" i="51"/>
  <c r="F20" i="51"/>
  <c r="J6" i="51"/>
  <c r="J9" i="51"/>
  <c r="J10" i="51"/>
  <c r="I9" i="12"/>
  <c r="I11" i="12"/>
  <c r="J8" i="14"/>
  <c r="J10" i="12"/>
  <c r="J5" i="12"/>
  <c r="J6" i="12"/>
  <c r="J7" i="12"/>
  <c r="J8" i="12"/>
  <c r="J9" i="12"/>
  <c r="J11" i="12"/>
  <c r="K8" i="14"/>
  <c r="K10" i="12"/>
  <c r="K5" i="12"/>
  <c r="K6" i="12"/>
  <c r="K7" i="12"/>
  <c r="K8" i="12"/>
  <c r="K9" i="12"/>
  <c r="K11" i="12"/>
  <c r="L8" i="14"/>
  <c r="L10" i="12"/>
  <c r="L5" i="12"/>
  <c r="L6" i="12"/>
  <c r="L7" i="12"/>
  <c r="L8" i="12"/>
  <c r="L9" i="12"/>
  <c r="L11" i="12"/>
  <c r="M8" i="14"/>
  <c r="M10" i="12"/>
  <c r="M5" i="12"/>
  <c r="M6" i="12"/>
  <c r="M7" i="12"/>
  <c r="M8" i="12"/>
  <c r="M9" i="12"/>
  <c r="M11" i="12"/>
  <c r="N8" i="14"/>
  <c r="N10" i="12"/>
  <c r="N5" i="12"/>
  <c r="N6" i="12"/>
  <c r="N7" i="12"/>
  <c r="N8" i="12"/>
  <c r="N9" i="12"/>
  <c r="N11" i="12"/>
  <c r="O8" i="14"/>
  <c r="O10" i="12"/>
  <c r="O5" i="12"/>
  <c r="O6" i="12"/>
  <c r="O7" i="12"/>
  <c r="O8" i="12"/>
  <c r="O9" i="12"/>
  <c r="O11" i="12"/>
  <c r="P8" i="14"/>
  <c r="P10" i="12"/>
  <c r="P5" i="12"/>
  <c r="P6" i="12"/>
  <c r="P7" i="12"/>
  <c r="P8" i="12"/>
  <c r="P9" i="12"/>
  <c r="P11" i="12"/>
  <c r="Q8" i="14"/>
  <c r="Q10" i="12"/>
  <c r="Q5" i="12"/>
  <c r="Q6" i="12"/>
  <c r="Q7" i="12"/>
  <c r="Q8" i="12"/>
  <c r="Q9" i="12"/>
  <c r="Q11" i="12"/>
  <c r="R8" i="14"/>
  <c r="R10" i="12"/>
  <c r="R5" i="12"/>
  <c r="R6" i="12"/>
  <c r="R7" i="12"/>
  <c r="R8" i="12"/>
  <c r="R9" i="12"/>
  <c r="R11" i="12"/>
  <c r="G14" i="14"/>
  <c r="S10" i="12"/>
  <c r="S5" i="12"/>
  <c r="S6" i="12"/>
  <c r="S7" i="12"/>
  <c r="S8" i="12"/>
  <c r="S9" i="12"/>
  <c r="S11" i="12"/>
  <c r="H14" i="14"/>
  <c r="T10" i="12"/>
  <c r="T5" i="12"/>
  <c r="T6" i="12"/>
  <c r="T7" i="12"/>
  <c r="T8" i="12"/>
  <c r="T9" i="12"/>
  <c r="T11" i="12"/>
  <c r="I14" i="14"/>
  <c r="U10" i="12"/>
  <c r="U5" i="12"/>
  <c r="U6" i="12"/>
  <c r="U7" i="12"/>
  <c r="U8" i="12"/>
  <c r="U9" i="12"/>
  <c r="U11" i="12"/>
  <c r="J14" i="14"/>
  <c r="V10" i="12"/>
  <c r="V5" i="12"/>
  <c r="V6" i="12"/>
  <c r="V7" i="12"/>
  <c r="V8" i="12"/>
  <c r="V9" i="12"/>
  <c r="V11" i="12"/>
  <c r="K14" i="14"/>
  <c r="W10" i="12"/>
  <c r="W5" i="12"/>
  <c r="W6" i="12"/>
  <c r="W7" i="12"/>
  <c r="W8" i="12"/>
  <c r="W9" i="12"/>
  <c r="W11" i="12"/>
  <c r="L14" i="14"/>
  <c r="X10" i="12"/>
  <c r="X5" i="12"/>
  <c r="X6" i="12"/>
  <c r="X7" i="12"/>
  <c r="X8" i="12"/>
  <c r="X9" i="12"/>
  <c r="X11" i="12"/>
  <c r="M14" i="14"/>
  <c r="Y10" i="12"/>
  <c r="Y5" i="12"/>
  <c r="Y6" i="12"/>
  <c r="Y7" i="12"/>
  <c r="Y8" i="12"/>
  <c r="Y9" i="12"/>
  <c r="Y11" i="12"/>
  <c r="N14" i="14"/>
  <c r="Z10" i="12"/>
  <c r="Z5" i="12"/>
  <c r="Z6" i="12"/>
  <c r="Z7" i="12"/>
  <c r="Z8" i="12"/>
  <c r="Z9" i="12"/>
  <c r="Z11" i="12"/>
  <c r="O14" i="14"/>
  <c r="AA10" i="12"/>
  <c r="AA5" i="12"/>
  <c r="AA6" i="12"/>
  <c r="AA7" i="12"/>
  <c r="AA8" i="12"/>
  <c r="AA9" i="12"/>
  <c r="AA11" i="12"/>
  <c r="P14" i="14"/>
  <c r="AB10" i="12"/>
  <c r="AB5" i="12"/>
  <c r="AB6" i="12"/>
  <c r="AB7" i="12"/>
  <c r="AB8" i="12"/>
  <c r="AB9" i="12"/>
  <c r="AB11" i="12"/>
  <c r="Q14" i="14"/>
  <c r="F8" i="14"/>
  <c r="I12" i="14"/>
  <c r="J12" i="14"/>
  <c r="K12" i="14"/>
  <c r="L12" i="14"/>
  <c r="M12" i="14"/>
  <c r="N12" i="14"/>
  <c r="O12" i="14"/>
  <c r="P12" i="14"/>
  <c r="Q12" i="14"/>
  <c r="H12" i="14"/>
  <c r="F14" i="14"/>
  <c r="F15" i="14"/>
  <c r="G12" i="14"/>
  <c r="E4" i="53"/>
  <c r="E5" i="53"/>
  <c r="E6" i="53"/>
  <c r="E7" i="53"/>
  <c r="E8" i="53"/>
  <c r="E9" i="53"/>
  <c r="E10" i="53"/>
  <c r="E11" i="53"/>
  <c r="E12" i="53"/>
  <c r="E13" i="53"/>
  <c r="E14" i="53"/>
  <c r="E15" i="53"/>
  <c r="E16" i="53"/>
  <c r="E17" i="53"/>
  <c r="E18" i="53"/>
  <c r="E19" i="53"/>
  <c r="E3" i="53"/>
  <c r="G4" i="53"/>
  <c r="G5" i="53"/>
  <c r="G6" i="53"/>
  <c r="G7" i="53"/>
  <c r="G8" i="53"/>
  <c r="G9" i="53"/>
  <c r="G10" i="53"/>
  <c r="G11" i="53"/>
  <c r="G12" i="53"/>
  <c r="G13" i="53"/>
  <c r="G14" i="53"/>
  <c r="G15" i="53"/>
  <c r="G16" i="53"/>
  <c r="G17" i="53"/>
  <c r="G18" i="53"/>
  <c r="G19" i="53"/>
  <c r="G20" i="53"/>
  <c r="G21" i="53"/>
  <c r="G22" i="53"/>
  <c r="G23" i="53"/>
  <c r="G24" i="53"/>
  <c r="G25" i="53"/>
  <c r="G3" i="53"/>
  <c r="F4" i="53"/>
  <c r="F5" i="53"/>
  <c r="F6" i="53"/>
  <c r="F7" i="53"/>
  <c r="F8" i="53"/>
  <c r="F9" i="53"/>
  <c r="F10" i="53"/>
  <c r="F3" i="53"/>
  <c r="I10" i="40"/>
  <c r="I9" i="40"/>
  <c r="H27" i="28"/>
  <c r="R55" i="28"/>
  <c r="H19" i="4"/>
  <c r="E25" i="4"/>
  <c r="E15" i="37"/>
  <c r="H17" i="37"/>
  <c r="E23" i="37"/>
  <c r="C7" i="52"/>
  <c r="C10" i="12"/>
  <c r="C10" i="47"/>
  <c r="D18" i="15"/>
  <c r="I10" i="47"/>
  <c r="H10" i="47"/>
  <c r="C30" i="47"/>
  <c r="C20" i="47"/>
  <c r="C40" i="47"/>
  <c r="I18" i="51"/>
  <c r="I19" i="51"/>
  <c r="I20" i="51"/>
  <c r="I17" i="51"/>
  <c r="H18" i="51"/>
  <c r="H19" i="51"/>
  <c r="H20" i="51"/>
  <c r="H17" i="51"/>
  <c r="E20" i="51"/>
  <c r="E17" i="51"/>
  <c r="D17" i="51"/>
  <c r="E26" i="15"/>
  <c r="F26" i="15"/>
  <c r="G26" i="15"/>
  <c r="D26" i="15"/>
  <c r="G17" i="15"/>
  <c r="F17" i="15"/>
  <c r="E17" i="15"/>
  <c r="E14" i="15"/>
  <c r="D4" i="40"/>
  <c r="D5" i="40"/>
  <c r="D6" i="40"/>
  <c r="D7" i="40"/>
  <c r="D8" i="40"/>
  <c r="D9" i="40"/>
  <c r="D10" i="40"/>
  <c r="D11" i="40"/>
  <c r="C4" i="37"/>
  <c r="C5" i="37"/>
  <c r="C6" i="37"/>
  <c r="C7" i="37"/>
  <c r="C8" i="37"/>
  <c r="C9" i="37"/>
  <c r="C10" i="37"/>
  <c r="C11" i="37"/>
  <c r="C3" i="37"/>
  <c r="E3" i="37"/>
  <c r="F3" i="37"/>
  <c r="G3" i="37"/>
  <c r="H3" i="37"/>
  <c r="I3" i="37"/>
  <c r="E4" i="37"/>
  <c r="F4" i="37"/>
  <c r="G4" i="37"/>
  <c r="H4" i="37"/>
  <c r="I4" i="37"/>
  <c r="E5" i="37"/>
  <c r="F5" i="37"/>
  <c r="G5" i="37"/>
  <c r="H5" i="37"/>
  <c r="I5" i="37"/>
  <c r="E6" i="37"/>
  <c r="F6" i="37"/>
  <c r="G6" i="37"/>
  <c r="H6" i="37"/>
  <c r="I6" i="37"/>
  <c r="E7" i="37"/>
  <c r="F7" i="37"/>
  <c r="H7" i="37"/>
  <c r="E8" i="37"/>
  <c r="F8" i="37"/>
  <c r="G8" i="37"/>
  <c r="H8" i="37"/>
  <c r="I8" i="37"/>
  <c r="E9" i="37"/>
  <c r="F9" i="37"/>
  <c r="G9" i="37"/>
  <c r="H9" i="37"/>
  <c r="I9" i="37"/>
  <c r="E10" i="37"/>
  <c r="F10" i="37"/>
  <c r="G10" i="37"/>
  <c r="H10" i="37"/>
  <c r="I10" i="37"/>
  <c r="E11" i="37"/>
  <c r="F11" i="37"/>
  <c r="G11" i="37"/>
  <c r="H11" i="37"/>
  <c r="D4" i="37"/>
  <c r="D5" i="37"/>
  <c r="D6" i="37"/>
  <c r="D7" i="37"/>
  <c r="D8" i="37"/>
  <c r="D9" i="37"/>
  <c r="D10" i="37"/>
  <c r="D11" i="37"/>
  <c r="D3" i="37"/>
  <c r="H41" i="37"/>
  <c r="H42" i="37"/>
  <c r="H43" i="37"/>
  <c r="H40" i="37"/>
  <c r="G41" i="37"/>
  <c r="G42" i="37"/>
  <c r="G43" i="37"/>
  <c r="G44" i="37"/>
  <c r="G40" i="37"/>
  <c r="F39" i="37"/>
  <c r="I31" i="37"/>
  <c r="I7" i="37"/>
  <c r="I35" i="37"/>
  <c r="K35" i="37"/>
  <c r="H36" i="37"/>
  <c r="G36" i="37"/>
  <c r="F36" i="37"/>
  <c r="E36" i="37"/>
  <c r="I34" i="37"/>
  <c r="I33" i="37"/>
  <c r="I32" i="37"/>
  <c r="I30" i="37"/>
  <c r="D29" i="37"/>
  <c r="I29" i="37"/>
  <c r="D28" i="37"/>
  <c r="I28" i="37"/>
  <c r="I27" i="37"/>
  <c r="E4" i="26"/>
  <c r="F4" i="10"/>
  <c r="H3" i="14"/>
  <c r="K32" i="28" a="1"/>
  <c r="K32" i="28"/>
  <c r="K55" i="28"/>
  <c r="H39" i="34"/>
  <c r="H41" i="34"/>
  <c r="H44" i="34"/>
  <c r="H47" i="34"/>
  <c r="D39" i="34"/>
  <c r="E39" i="34"/>
  <c r="F39" i="34"/>
  <c r="G39" i="34"/>
  <c r="D41" i="34"/>
  <c r="E41" i="34"/>
  <c r="F41" i="34"/>
  <c r="G41" i="34"/>
  <c r="D44" i="34"/>
  <c r="E44" i="34"/>
  <c r="F44" i="34"/>
  <c r="G44" i="34"/>
  <c r="D47" i="34"/>
  <c r="E47" i="34"/>
  <c r="F47" i="34"/>
  <c r="G47" i="34"/>
  <c r="D9" i="27"/>
  <c r="E9" i="27"/>
  <c r="F9" i="27"/>
  <c r="Z7" i="23"/>
  <c r="V7" i="23"/>
  <c r="W7" i="23"/>
  <c r="X7" i="23"/>
  <c r="Y7" i="23"/>
  <c r="E20" i="47"/>
  <c r="K31" i="37"/>
  <c r="I11" i="37"/>
  <c r="D36" i="37"/>
  <c r="I36" i="37"/>
  <c r="G9" i="27"/>
  <c r="H9" i="27"/>
  <c r="I9" i="27"/>
  <c r="J9" i="27"/>
  <c r="K9" i="27"/>
  <c r="L9" i="27"/>
  <c r="M9" i="27"/>
  <c r="N9" i="27"/>
  <c r="P9" i="27"/>
  <c r="R9" i="27"/>
  <c r="S9" i="27"/>
  <c r="T9" i="27"/>
  <c r="U9" i="27"/>
  <c r="V9" i="27"/>
  <c r="V12" i="22"/>
  <c r="W12" i="22"/>
  <c r="X12" i="22"/>
  <c r="Y12" i="22"/>
  <c r="Z12" i="22"/>
  <c r="D15" i="21"/>
  <c r="Z14" i="21"/>
  <c r="AA14" i="21"/>
  <c r="W15" i="21"/>
  <c r="X15" i="21"/>
  <c r="Y15" i="21"/>
  <c r="Z15" i="21"/>
  <c r="AA15" i="21"/>
  <c r="W18" i="21"/>
  <c r="W14" i="21"/>
  <c r="X18" i="21"/>
  <c r="X14" i="21"/>
  <c r="Y18" i="21"/>
  <c r="Y14" i="21"/>
  <c r="Z18" i="21"/>
  <c r="AA18" i="21"/>
  <c r="W24" i="21"/>
  <c r="X24" i="21"/>
  <c r="Y24" i="21"/>
  <c r="Z24" i="21"/>
  <c r="AA24" i="21"/>
  <c r="J10" i="47"/>
  <c r="F20" i="47"/>
  <c r="W9" i="27"/>
  <c r="D45" i="34"/>
  <c r="W19" i="8"/>
  <c r="X19" i="8"/>
  <c r="Y19" i="8"/>
  <c r="Z19" i="8"/>
  <c r="AA19" i="8"/>
  <c r="W12" i="8"/>
  <c r="X12" i="8"/>
  <c r="Y12" i="8"/>
  <c r="Z12" i="8"/>
  <c r="AA12" i="8"/>
  <c r="AA5" i="8"/>
  <c r="Z5" i="8"/>
  <c r="Y5" i="8"/>
  <c r="X5" i="8"/>
  <c r="W5" i="8"/>
  <c r="J36" i="15"/>
  <c r="J35" i="15"/>
  <c r="J34" i="15"/>
  <c r="J33" i="15"/>
  <c r="J32" i="15"/>
  <c r="J31" i="15"/>
  <c r="G20" i="47"/>
  <c r="K6" i="51"/>
  <c r="X9" i="27"/>
  <c r="E45" i="34"/>
  <c r="H20" i="47"/>
  <c r="Y9" i="27"/>
  <c r="F45" i="34"/>
  <c r="I20" i="47"/>
  <c r="Z9" i="27"/>
  <c r="G45" i="34"/>
  <c r="K4" i="51"/>
  <c r="Q21" i="13"/>
  <c r="D4" i="10"/>
  <c r="E5" i="23"/>
  <c r="F5" i="23"/>
  <c r="D5" i="23"/>
  <c r="H9" i="47"/>
  <c r="I9" i="47"/>
  <c r="J20" i="47"/>
  <c r="H45" i="34"/>
  <c r="L32" i="28" a="1"/>
  <c r="E12" i="37"/>
  <c r="F12" i="37"/>
  <c r="G12" i="37"/>
  <c r="H12" i="37"/>
  <c r="F5" i="25"/>
  <c r="G5" i="25"/>
  <c r="E5" i="25"/>
  <c r="U7" i="23"/>
  <c r="E10" i="22"/>
  <c r="F10" i="22"/>
  <c r="D10" i="22"/>
  <c r="E6" i="22"/>
  <c r="F6" i="22"/>
  <c r="D6" i="22"/>
  <c r="I27" i="34"/>
  <c r="I29" i="34"/>
  <c r="I32" i="34"/>
  <c r="I35" i="34"/>
  <c r="F10" i="24"/>
  <c r="G10" i="24"/>
  <c r="F17" i="24"/>
  <c r="G17" i="24"/>
  <c r="H17" i="24"/>
  <c r="I17" i="24"/>
  <c r="J17" i="24"/>
  <c r="K17" i="24"/>
  <c r="L17" i="24"/>
  <c r="E17" i="24"/>
  <c r="F31" i="21"/>
  <c r="G31" i="21"/>
  <c r="E31" i="21"/>
  <c r="F11" i="21"/>
  <c r="G11" i="21"/>
  <c r="E11" i="21"/>
  <c r="F7" i="21"/>
  <c r="G7" i="21"/>
  <c r="E7" i="21"/>
  <c r="H24" i="21"/>
  <c r="I24" i="21"/>
  <c r="J24" i="21"/>
  <c r="K24" i="21"/>
  <c r="L24" i="21"/>
  <c r="M24" i="21"/>
  <c r="N24" i="21"/>
  <c r="O24" i="21"/>
  <c r="P24" i="21"/>
  <c r="Q24" i="21"/>
  <c r="R24" i="21"/>
  <c r="S24" i="21"/>
  <c r="T24" i="21"/>
  <c r="U24" i="21"/>
  <c r="V24" i="21"/>
  <c r="M14" i="21"/>
  <c r="U14" i="21"/>
  <c r="F15" i="21"/>
  <c r="G15" i="21"/>
  <c r="H15" i="21"/>
  <c r="I15" i="21"/>
  <c r="I14" i="21"/>
  <c r="J15" i="21"/>
  <c r="K15" i="21"/>
  <c r="K14" i="21"/>
  <c r="L15" i="21"/>
  <c r="L14" i="21"/>
  <c r="M15" i="21"/>
  <c r="N15" i="21"/>
  <c r="N14" i="21"/>
  <c r="O15" i="21"/>
  <c r="O14" i="21"/>
  <c r="P15" i="21"/>
  <c r="P14" i="21"/>
  <c r="Q15" i="21"/>
  <c r="Q14" i="21"/>
  <c r="R15" i="21"/>
  <c r="R14" i="21"/>
  <c r="S15" i="21"/>
  <c r="S14" i="21"/>
  <c r="T15" i="21"/>
  <c r="T14" i="21"/>
  <c r="U15" i="21"/>
  <c r="V15" i="21"/>
  <c r="V14" i="21"/>
  <c r="I18" i="21"/>
  <c r="J18" i="21"/>
  <c r="K18" i="21"/>
  <c r="L18" i="21"/>
  <c r="M18" i="21"/>
  <c r="N18" i="21"/>
  <c r="O18" i="21"/>
  <c r="P18" i="21"/>
  <c r="Q18" i="21"/>
  <c r="R18" i="21"/>
  <c r="S18" i="21"/>
  <c r="T18" i="21"/>
  <c r="U18" i="21"/>
  <c r="V18" i="21"/>
  <c r="E15" i="21"/>
  <c r="F13" i="16"/>
  <c r="G13" i="16"/>
  <c r="E13" i="16"/>
  <c r="F11" i="20"/>
  <c r="G11" i="20"/>
  <c r="F13" i="20"/>
  <c r="G13" i="20"/>
  <c r="F16" i="20"/>
  <c r="G16" i="20"/>
  <c r="H16" i="20"/>
  <c r="I16" i="20"/>
  <c r="J16" i="20"/>
  <c r="K16" i="20"/>
  <c r="L16" i="20"/>
  <c r="E16" i="20"/>
  <c r="E13" i="20"/>
  <c r="E11" i="20"/>
  <c r="F5" i="20"/>
  <c r="G5" i="20"/>
  <c r="F6" i="20"/>
  <c r="G6" i="20"/>
  <c r="E6" i="20"/>
  <c r="E5" i="20"/>
  <c r="F12" i="19"/>
  <c r="G12" i="19"/>
  <c r="E12" i="19"/>
  <c r="F5" i="19"/>
  <c r="F6" i="19"/>
  <c r="F4" i="19"/>
  <c r="G5" i="19"/>
  <c r="G6" i="19"/>
  <c r="G4" i="19"/>
  <c r="E5" i="19"/>
  <c r="E6" i="19"/>
  <c r="E4" i="19"/>
  <c r="G7" i="18"/>
  <c r="F8" i="16"/>
  <c r="G8" i="18"/>
  <c r="F9" i="16"/>
  <c r="F7" i="16"/>
  <c r="G12" i="18"/>
  <c r="F11" i="16"/>
  <c r="H12" i="18"/>
  <c r="G11" i="16"/>
  <c r="F12" i="18"/>
  <c r="E11" i="16"/>
  <c r="H8" i="18"/>
  <c r="G9" i="16"/>
  <c r="F8" i="18"/>
  <c r="E9" i="16"/>
  <c r="H7" i="18"/>
  <c r="G8" i="16"/>
  <c r="G7" i="16"/>
  <c r="F7" i="18"/>
  <c r="E8" i="16"/>
  <c r="F5" i="45"/>
  <c r="G5" i="45"/>
  <c r="F6" i="45"/>
  <c r="G6" i="45"/>
  <c r="F7" i="45"/>
  <c r="G7" i="45"/>
  <c r="F8" i="45"/>
  <c r="G8" i="45"/>
  <c r="E6" i="45"/>
  <c r="E7" i="45"/>
  <c r="E8" i="45"/>
  <c r="E5" i="45"/>
  <c r="D4" i="33"/>
  <c r="D11" i="33"/>
  <c r="D25" i="33"/>
  <c r="O7" i="15"/>
  <c r="O8" i="15"/>
  <c r="O6" i="15"/>
  <c r="K7" i="15"/>
  <c r="M7" i="15"/>
  <c r="N7" i="15"/>
  <c r="L8" i="15"/>
  <c r="M8" i="15"/>
  <c r="N8" i="15"/>
  <c r="K6" i="15"/>
  <c r="M6" i="15"/>
  <c r="N6" i="15"/>
  <c r="H26" i="15"/>
  <c r="I26" i="15"/>
  <c r="H18" i="15"/>
  <c r="I18" i="15"/>
  <c r="G15" i="15"/>
  <c r="G14" i="15"/>
  <c r="E15" i="15"/>
  <c r="J7" i="15"/>
  <c r="E16" i="15"/>
  <c r="J6" i="15"/>
  <c r="F16" i="15"/>
  <c r="F18" i="15"/>
  <c r="E30" i="47"/>
  <c r="F6" i="18"/>
  <c r="E8" i="21"/>
  <c r="E6" i="21"/>
  <c r="H6" i="18"/>
  <c r="G8" i="21"/>
  <c r="G6" i="21"/>
  <c r="L32" i="28"/>
  <c r="E7" i="16"/>
  <c r="G6" i="18"/>
  <c r="F8" i="21"/>
  <c r="F6" i="21"/>
  <c r="D18" i="33"/>
  <c r="L6" i="15"/>
  <c r="L7" i="15"/>
  <c r="H8" i="47"/>
  <c r="J8" i="15"/>
  <c r="J14" i="21"/>
  <c r="K8" i="15"/>
  <c r="G18" i="15"/>
  <c r="E18" i="15"/>
  <c r="F30" i="47"/>
  <c r="K5" i="51"/>
  <c r="H7" i="47"/>
  <c r="K11" i="38"/>
  <c r="K12" i="38"/>
  <c r="K13" i="38"/>
  <c r="K10" i="38"/>
  <c r="V19" i="8"/>
  <c r="V12" i="8"/>
  <c r="V5" i="8"/>
  <c r="E26" i="13"/>
  <c r="D31" i="13"/>
  <c r="I10" i="4"/>
  <c r="F9" i="4"/>
  <c r="G9" i="4"/>
  <c r="E9" i="4"/>
  <c r="D12" i="4"/>
  <c r="C4" i="40"/>
  <c r="C5" i="40"/>
  <c r="C6" i="40"/>
  <c r="C7" i="40"/>
  <c r="C8" i="40"/>
  <c r="C9" i="40"/>
  <c r="C10" i="40"/>
  <c r="C11" i="40"/>
  <c r="C3" i="40"/>
  <c r="B5" i="38"/>
  <c r="B6" i="38"/>
  <c r="B7" i="38"/>
  <c r="B8" i="38"/>
  <c r="B9" i="38"/>
  <c r="B10" i="38"/>
  <c r="B11" i="38"/>
  <c r="B12" i="38"/>
  <c r="B4" i="38"/>
  <c r="O40" i="39"/>
  <c r="P40" i="39"/>
  <c r="N40" i="39"/>
  <c r="O29" i="39"/>
  <c r="P29" i="39"/>
  <c r="N29" i="39"/>
  <c r="O18" i="39"/>
  <c r="P18" i="39"/>
  <c r="N18" i="39"/>
  <c r="O7" i="39"/>
  <c r="P7" i="39"/>
  <c r="N7" i="39"/>
  <c r="F51" i="39"/>
  <c r="G51" i="39"/>
  <c r="E51" i="39"/>
  <c r="F40" i="39"/>
  <c r="G40" i="39"/>
  <c r="E40" i="39"/>
  <c r="F29" i="39"/>
  <c r="G29" i="39"/>
  <c r="E29" i="39"/>
  <c r="F18" i="39"/>
  <c r="G18" i="39"/>
  <c r="E18" i="39"/>
  <c r="F7" i="39"/>
  <c r="G7" i="39"/>
  <c r="E7" i="39"/>
  <c r="E2" i="39"/>
  <c r="F2" i="39"/>
  <c r="D2" i="39"/>
  <c r="G30" i="47"/>
  <c r="I8" i="47"/>
  <c r="E29" i="34"/>
  <c r="F29" i="34"/>
  <c r="G29" i="34"/>
  <c r="H29" i="34"/>
  <c r="E32" i="34"/>
  <c r="F32" i="34"/>
  <c r="G32" i="34"/>
  <c r="H32" i="34"/>
  <c r="E35" i="34"/>
  <c r="F35" i="34"/>
  <c r="G35" i="34"/>
  <c r="H35" i="34"/>
  <c r="D29" i="34"/>
  <c r="D32" i="34"/>
  <c r="D35" i="34"/>
  <c r="E17" i="34"/>
  <c r="F17" i="34"/>
  <c r="G17" i="34"/>
  <c r="H17" i="34"/>
  <c r="I17" i="34"/>
  <c r="E20" i="34"/>
  <c r="F20" i="34"/>
  <c r="G20" i="34"/>
  <c r="H20" i="34"/>
  <c r="I20" i="34"/>
  <c r="E23" i="34"/>
  <c r="F23" i="34"/>
  <c r="G23" i="34"/>
  <c r="H23" i="34"/>
  <c r="I23" i="34"/>
  <c r="D17" i="34"/>
  <c r="D20" i="34"/>
  <c r="D23" i="34"/>
  <c r="G5" i="34"/>
  <c r="H5" i="34"/>
  <c r="I5" i="34"/>
  <c r="E8" i="34"/>
  <c r="F8" i="34"/>
  <c r="G8" i="34"/>
  <c r="H8" i="34"/>
  <c r="I8" i="34"/>
  <c r="E11" i="34"/>
  <c r="F11" i="34"/>
  <c r="G11" i="34"/>
  <c r="H11" i="34"/>
  <c r="I11" i="34"/>
  <c r="D8" i="34"/>
  <c r="D11" i="34"/>
  <c r="C8" i="45"/>
  <c r="C15" i="45"/>
  <c r="C22" i="45"/>
  <c r="C29" i="45"/>
  <c r="B6" i="45"/>
  <c r="B13" i="45"/>
  <c r="B20" i="45"/>
  <c r="B27" i="45"/>
  <c r="B7" i="45"/>
  <c r="B14" i="45"/>
  <c r="B21" i="45"/>
  <c r="B28" i="45"/>
  <c r="B8" i="45"/>
  <c r="B15" i="45"/>
  <c r="B22" i="45"/>
  <c r="B29" i="45"/>
  <c r="B5" i="45"/>
  <c r="B12" i="45"/>
  <c r="B19" i="45"/>
  <c r="B26" i="45"/>
  <c r="F3" i="14"/>
  <c r="D10" i="39"/>
  <c r="E6" i="4"/>
  <c r="D13" i="4"/>
  <c r="I15" i="34"/>
  <c r="D27" i="34"/>
  <c r="E27" i="34"/>
  <c r="F27" i="34"/>
  <c r="G27" i="34"/>
  <c r="H27" i="34"/>
  <c r="E3" i="34"/>
  <c r="F3" i="34"/>
  <c r="G3" i="34"/>
  <c r="H3" i="34"/>
  <c r="I3" i="34"/>
  <c r="D15" i="34"/>
  <c r="E15" i="34"/>
  <c r="F15" i="34"/>
  <c r="G15" i="34"/>
  <c r="H15" i="34"/>
  <c r="D3" i="34"/>
  <c r="H30" i="47"/>
  <c r="I7" i="47"/>
  <c r="J9" i="47"/>
  <c r="J8" i="47"/>
  <c r="E4" i="13"/>
  <c r="D9" i="34"/>
  <c r="M10" i="39"/>
  <c r="M21" i="39"/>
  <c r="M32" i="39"/>
  <c r="M43" i="39"/>
  <c r="D21" i="39"/>
  <c r="D32" i="39"/>
  <c r="D43" i="39"/>
  <c r="D54" i="39"/>
  <c r="D11" i="39"/>
  <c r="I30" i="47"/>
  <c r="J7" i="47"/>
  <c r="E18" i="47"/>
  <c r="E19" i="47"/>
  <c r="M11" i="39"/>
  <c r="M22" i="39"/>
  <c r="M33" i="39"/>
  <c r="M44" i="39"/>
  <c r="D22" i="39"/>
  <c r="D33" i="39"/>
  <c r="D44" i="39"/>
  <c r="D55" i="39"/>
  <c r="E9" i="40"/>
  <c r="G2" i="40"/>
  <c r="F2" i="40"/>
  <c r="E2" i="40"/>
  <c r="J13" i="38"/>
  <c r="I13" i="38"/>
  <c r="B4" i="40"/>
  <c r="D3" i="40"/>
  <c r="B5" i="40"/>
  <c r="B6" i="40"/>
  <c r="B7" i="40"/>
  <c r="B8" i="40"/>
  <c r="B9" i="40"/>
  <c r="B10" i="40"/>
  <c r="B11" i="40"/>
  <c r="B3" i="40"/>
  <c r="J30" i="47"/>
  <c r="E17" i="47"/>
  <c r="F19" i="47"/>
  <c r="F4" i="33"/>
  <c r="K38" i="39"/>
  <c r="K27" i="39"/>
  <c r="K16" i="39"/>
  <c r="K5" i="39"/>
  <c r="B49" i="39"/>
  <c r="B38" i="39"/>
  <c r="B27" i="39"/>
  <c r="B16" i="39"/>
  <c r="B5" i="39"/>
  <c r="H18" i="4"/>
  <c r="D10" i="2"/>
  <c r="H20" i="4"/>
  <c r="H21" i="4"/>
  <c r="E7" i="40"/>
  <c r="E8" i="40"/>
  <c r="E10" i="40"/>
  <c r="E11" i="40"/>
  <c r="E40" i="47"/>
  <c r="F18" i="47"/>
  <c r="F25" i="4"/>
  <c r="G25" i="4"/>
  <c r="E20" i="4"/>
  <c r="K20" i="4"/>
  <c r="E19" i="4"/>
  <c r="E26" i="6"/>
  <c r="E31" i="6"/>
  <c r="F21" i="4"/>
  <c r="F27" i="6"/>
  <c r="G21" i="4"/>
  <c r="G27" i="6"/>
  <c r="E21" i="4"/>
  <c r="E27" i="6"/>
  <c r="G18" i="4"/>
  <c r="G25" i="6"/>
  <c r="E18" i="4"/>
  <c r="E25" i="6"/>
  <c r="F18" i="4"/>
  <c r="F25" i="6"/>
  <c r="F12" i="24"/>
  <c r="E12" i="24"/>
  <c r="F40" i="47"/>
  <c r="G17" i="47"/>
  <c r="F17" i="47"/>
  <c r="G18" i="47"/>
  <c r="G19" i="47"/>
  <c r="G19" i="4"/>
  <c r="G26" i="6"/>
  <c r="F19" i="4"/>
  <c r="F26" i="6"/>
  <c r="K18" i="4"/>
  <c r="K21" i="4"/>
  <c r="G32" i="6"/>
  <c r="G37" i="6"/>
  <c r="E30" i="6"/>
  <c r="E35" i="6"/>
  <c r="D25" i="6"/>
  <c r="G30" i="6"/>
  <c r="G35" i="6"/>
  <c r="E32" i="6"/>
  <c r="D27" i="6"/>
  <c r="F30" i="6"/>
  <c r="F35" i="6"/>
  <c r="F32" i="6"/>
  <c r="F37" i="6"/>
  <c r="F5" i="33"/>
  <c r="E10" i="24"/>
  <c r="E6" i="46"/>
  <c r="D6" i="27"/>
  <c r="D6" i="34"/>
  <c r="C6" i="15"/>
  <c r="C14" i="15"/>
  <c r="C7" i="15"/>
  <c r="C8" i="15"/>
  <c r="C9" i="15"/>
  <c r="C5" i="15"/>
  <c r="G6" i="33"/>
  <c r="C24" i="13"/>
  <c r="C25" i="13"/>
  <c r="C23" i="13"/>
  <c r="E6" i="40"/>
  <c r="G40" i="47"/>
  <c r="H17" i="47"/>
  <c r="H18" i="47"/>
  <c r="H19" i="47"/>
  <c r="C20" i="51"/>
  <c r="J3" i="51"/>
  <c r="C17" i="15"/>
  <c r="M17" i="15"/>
  <c r="C19" i="51"/>
  <c r="I3" i="51"/>
  <c r="C16" i="15"/>
  <c r="M16" i="15"/>
  <c r="C18" i="51"/>
  <c r="H3" i="51"/>
  <c r="C15" i="15"/>
  <c r="M15" i="15"/>
  <c r="C17" i="51"/>
  <c r="G3" i="51"/>
  <c r="C16" i="51"/>
  <c r="F3" i="51"/>
  <c r="E4" i="40"/>
  <c r="I17" i="47"/>
  <c r="E5" i="40"/>
  <c r="D12" i="37"/>
  <c r="E3" i="40"/>
  <c r="K19" i="4"/>
  <c r="G31" i="6"/>
  <c r="G36" i="6"/>
  <c r="D32" i="6"/>
  <c r="E37" i="6"/>
  <c r="D37" i="6"/>
  <c r="F31" i="6"/>
  <c r="F36" i="6"/>
  <c r="D35" i="6"/>
  <c r="D30" i="6"/>
  <c r="D26" i="6"/>
  <c r="C21" i="15"/>
  <c r="C22" i="15"/>
  <c r="M14" i="15"/>
  <c r="C23" i="15"/>
  <c r="C25" i="15"/>
  <c r="C24" i="15"/>
  <c r="C10" i="13"/>
  <c r="C5" i="45"/>
  <c r="C12" i="45"/>
  <c r="C19" i="45"/>
  <c r="C26" i="45"/>
  <c r="C30" i="13"/>
  <c r="C11" i="13"/>
  <c r="C6" i="45"/>
  <c r="C13" i="45"/>
  <c r="C20" i="45"/>
  <c r="C27" i="45"/>
  <c r="C31" i="13"/>
  <c r="C12" i="13"/>
  <c r="C7" i="45"/>
  <c r="C14" i="45"/>
  <c r="C21" i="45"/>
  <c r="C28" i="45"/>
  <c r="C32" i="13"/>
  <c r="E4" i="20"/>
  <c r="F6" i="33"/>
  <c r="F7" i="33"/>
  <c r="C8" i="12"/>
  <c r="C8" i="47"/>
  <c r="C7" i="12"/>
  <c r="C7" i="47"/>
  <c r="C6" i="12"/>
  <c r="C6" i="47"/>
  <c r="C26" i="47"/>
  <c r="C5" i="12"/>
  <c r="C5" i="47"/>
  <c r="C25" i="47"/>
  <c r="C9" i="12"/>
  <c r="C9" i="47"/>
  <c r="H40" i="47"/>
  <c r="I18" i="47"/>
  <c r="I19" i="47"/>
  <c r="C16" i="47"/>
  <c r="C36" i="47"/>
  <c r="C15" i="47"/>
  <c r="C35" i="47"/>
  <c r="K9" i="51"/>
  <c r="K8" i="51"/>
  <c r="J17" i="47"/>
  <c r="C28" i="47"/>
  <c r="C18" i="47"/>
  <c r="C38" i="47"/>
  <c r="C19" i="47"/>
  <c r="C39" i="47"/>
  <c r="C29" i="47"/>
  <c r="C27" i="47"/>
  <c r="C17" i="47"/>
  <c r="C37" i="47"/>
  <c r="I12" i="37"/>
  <c r="E12" i="40"/>
  <c r="D31" i="6"/>
  <c r="E36" i="6"/>
  <c r="D36" i="6"/>
  <c r="E17" i="4"/>
  <c r="I40" i="47"/>
  <c r="J18" i="47"/>
  <c r="J19" i="47"/>
  <c r="H6" i="47"/>
  <c r="F17" i="4"/>
  <c r="F24" i="6"/>
  <c r="E24" i="6"/>
  <c r="E27" i="47"/>
  <c r="G17" i="4"/>
  <c r="G24" i="6"/>
  <c r="J23" i="6"/>
  <c r="E10" i="12"/>
  <c r="D10" i="12"/>
  <c r="D10" i="47"/>
  <c r="D30" i="47"/>
  <c r="E28" i="47"/>
  <c r="E29" i="47"/>
  <c r="I6" i="47"/>
  <c r="K10" i="51"/>
  <c r="H5" i="47"/>
  <c r="F27" i="47"/>
  <c r="K17" i="4"/>
  <c r="D24" i="6"/>
  <c r="E29" i="6"/>
  <c r="E34" i="6"/>
  <c r="E23" i="6"/>
  <c r="E9" i="24"/>
  <c r="G29" i="6"/>
  <c r="G28" i="6"/>
  <c r="H10" i="18"/>
  <c r="H9" i="18"/>
  <c r="G23" i="6"/>
  <c r="G9" i="24"/>
  <c r="F29" i="6"/>
  <c r="F28" i="6"/>
  <c r="G10" i="18"/>
  <c r="G9" i="18"/>
  <c r="F23" i="6"/>
  <c r="F9" i="24"/>
  <c r="F6" i="46"/>
  <c r="D20" i="47"/>
  <c r="D40" i="47"/>
  <c r="I11" i="47"/>
  <c r="F28" i="47"/>
  <c r="F29" i="47"/>
  <c r="H11" i="47"/>
  <c r="J6" i="47"/>
  <c r="I5" i="47"/>
  <c r="D9" i="24"/>
  <c r="D6" i="26"/>
  <c r="E18" i="24"/>
  <c r="E19" i="24"/>
  <c r="G27" i="47"/>
  <c r="G34" i="6"/>
  <c r="G33" i="6"/>
  <c r="G5" i="46"/>
  <c r="G18" i="24"/>
  <c r="E28" i="6"/>
  <c r="D29" i="6"/>
  <c r="E33" i="6"/>
  <c r="D23" i="6"/>
  <c r="F34" i="6"/>
  <c r="F33" i="6"/>
  <c r="F18" i="24"/>
  <c r="F5" i="46"/>
  <c r="G5" i="33"/>
  <c r="H5" i="33"/>
  <c r="J11" i="47"/>
  <c r="G28" i="47"/>
  <c r="G29" i="47"/>
  <c r="I5" i="33"/>
  <c r="D4" i="26"/>
  <c r="D5" i="46"/>
  <c r="J5" i="47"/>
  <c r="I12" i="18"/>
  <c r="I9" i="18"/>
  <c r="H12" i="19"/>
  <c r="H11" i="21"/>
  <c r="H13" i="20"/>
  <c r="H10" i="24"/>
  <c r="D34" i="6"/>
  <c r="H27" i="47"/>
  <c r="D33" i="6"/>
  <c r="D9" i="8"/>
  <c r="F20" i="24"/>
  <c r="F6" i="25"/>
  <c r="F19" i="24"/>
  <c r="F10" i="18"/>
  <c r="E10" i="18"/>
  <c r="D28" i="6"/>
  <c r="G20" i="24"/>
  <c r="G6" i="25"/>
  <c r="G19" i="24"/>
  <c r="G7" i="46"/>
  <c r="G6" i="46"/>
  <c r="G4" i="46"/>
  <c r="H28" i="47"/>
  <c r="E16" i="47"/>
  <c r="H11" i="16"/>
  <c r="H29" i="47"/>
  <c r="E15" i="47"/>
  <c r="I13" i="20"/>
  <c r="I11" i="21"/>
  <c r="J12" i="18"/>
  <c r="J9" i="18"/>
  <c r="I10" i="24"/>
  <c r="I18" i="24"/>
  <c r="I12" i="19"/>
  <c r="K5" i="33"/>
  <c r="H18" i="24"/>
  <c r="H6" i="46"/>
  <c r="H4" i="46"/>
  <c r="I27" i="47"/>
  <c r="H6" i="8"/>
  <c r="H7" i="8"/>
  <c r="F9" i="18"/>
  <c r="E20" i="24"/>
  <c r="G8" i="46"/>
  <c r="G9" i="46"/>
  <c r="J5" i="33"/>
  <c r="I28" i="47"/>
  <c r="F16" i="47"/>
  <c r="H8" i="8"/>
  <c r="I6" i="8"/>
  <c r="F15" i="47"/>
  <c r="F21" i="47"/>
  <c r="E21" i="47"/>
  <c r="I29" i="47"/>
  <c r="I20" i="24"/>
  <c r="I6" i="25"/>
  <c r="I19" i="24"/>
  <c r="K11" i="21"/>
  <c r="K10" i="24"/>
  <c r="K18" i="24"/>
  <c r="K13" i="20"/>
  <c r="L12" i="18"/>
  <c r="L9" i="18"/>
  <c r="K12" i="19"/>
  <c r="I11" i="16"/>
  <c r="H20" i="24"/>
  <c r="H19" i="24"/>
  <c r="H8" i="46"/>
  <c r="H7" i="46"/>
  <c r="J12" i="19"/>
  <c r="K12" i="18"/>
  <c r="K9" i="18"/>
  <c r="J10" i="24"/>
  <c r="J11" i="21"/>
  <c r="J13" i="20"/>
  <c r="F19" i="18"/>
  <c r="F20" i="18"/>
  <c r="E6" i="25"/>
  <c r="I7" i="8"/>
  <c r="J7" i="8"/>
  <c r="K7" i="8"/>
  <c r="L7" i="8"/>
  <c r="M7" i="8"/>
  <c r="N7" i="8"/>
  <c r="O7" i="8"/>
  <c r="P7" i="8"/>
  <c r="Q7" i="8"/>
  <c r="R7" i="8"/>
  <c r="S7" i="8"/>
  <c r="T7" i="8"/>
  <c r="U7" i="8"/>
  <c r="V7" i="8"/>
  <c r="W7" i="8"/>
  <c r="X7" i="8"/>
  <c r="Y7" i="8"/>
  <c r="Z7" i="8"/>
  <c r="AA7" i="8"/>
  <c r="I7" i="46"/>
  <c r="I6" i="46"/>
  <c r="I4" i="46"/>
  <c r="L8" i="26"/>
  <c r="G7" i="23"/>
  <c r="H7" i="23"/>
  <c r="I7" i="23"/>
  <c r="J7" i="23"/>
  <c r="K7" i="23"/>
  <c r="L7" i="23"/>
  <c r="M7" i="23"/>
  <c r="N7" i="23"/>
  <c r="O7" i="23"/>
  <c r="P7" i="23"/>
  <c r="Q7" i="23"/>
  <c r="R7" i="23"/>
  <c r="S7" i="23"/>
  <c r="T7" i="23"/>
  <c r="E4" i="23"/>
  <c r="F4" i="23"/>
  <c r="D4" i="23"/>
  <c r="E37" i="47"/>
  <c r="J27" i="47"/>
  <c r="J28" i="47"/>
  <c r="G16" i="47"/>
  <c r="L11" i="21"/>
  <c r="G15" i="47"/>
  <c r="J29" i="47"/>
  <c r="K11" i="16"/>
  <c r="J11" i="16"/>
  <c r="D7" i="8"/>
  <c r="K20" i="24"/>
  <c r="K6" i="25"/>
  <c r="K19" i="24"/>
  <c r="J18" i="24"/>
  <c r="J6" i="46"/>
  <c r="J4" i="46"/>
  <c r="H6" i="25"/>
  <c r="H9" i="46"/>
  <c r="E9" i="34"/>
  <c r="D14" i="22"/>
  <c r="D12" i="22"/>
  <c r="F5" i="18"/>
  <c r="I8" i="8"/>
  <c r="J6" i="8"/>
  <c r="J8" i="8"/>
  <c r="K6" i="8"/>
  <c r="K8" i="8"/>
  <c r="L6" i="8"/>
  <c r="L8" i="8"/>
  <c r="M6" i="8"/>
  <c r="M8" i="8"/>
  <c r="N6" i="8"/>
  <c r="N8" i="8"/>
  <c r="O6" i="8"/>
  <c r="O8" i="8"/>
  <c r="P6" i="8"/>
  <c r="P8" i="8"/>
  <c r="Q6" i="8"/>
  <c r="Q8" i="8"/>
  <c r="R6" i="8"/>
  <c r="R8" i="8"/>
  <c r="S6" i="8"/>
  <c r="S8" i="8"/>
  <c r="T6" i="8"/>
  <c r="T8" i="8"/>
  <c r="U6" i="8"/>
  <c r="U8" i="8"/>
  <c r="V6" i="8"/>
  <c r="V8" i="8"/>
  <c r="W6" i="8"/>
  <c r="W8" i="8"/>
  <c r="X6" i="8"/>
  <c r="X8" i="8"/>
  <c r="Y6" i="8"/>
  <c r="Y8" i="8"/>
  <c r="Z6" i="8"/>
  <c r="Z8" i="8"/>
  <c r="AA6" i="8"/>
  <c r="AA8" i="8"/>
  <c r="I9" i="46"/>
  <c r="I8" i="46"/>
  <c r="F12" i="33"/>
  <c r="F37" i="47"/>
  <c r="E38" i="47"/>
  <c r="L10" i="24"/>
  <c r="L18" i="24"/>
  <c r="L20" i="24"/>
  <c r="L6" i="25"/>
  <c r="M12" i="18"/>
  <c r="M9" i="18"/>
  <c r="L13" i="20"/>
  <c r="L12" i="19"/>
  <c r="H16" i="47"/>
  <c r="E39" i="47"/>
  <c r="G21" i="47"/>
  <c r="H15" i="47"/>
  <c r="H21" i="47"/>
  <c r="J20" i="24"/>
  <c r="J19" i="24"/>
  <c r="J8" i="46"/>
  <c r="J7" i="46"/>
  <c r="M11" i="21"/>
  <c r="M12" i="19"/>
  <c r="N12" i="18"/>
  <c r="N9" i="18"/>
  <c r="M10" i="24"/>
  <c r="M18" i="24"/>
  <c r="G16" i="46"/>
  <c r="M13" i="20"/>
  <c r="F9" i="34"/>
  <c r="F14" i="18"/>
  <c r="E13" i="19"/>
  <c r="E15" i="20"/>
  <c r="E15" i="24"/>
  <c r="E16" i="46"/>
  <c r="E15" i="46"/>
  <c r="E13" i="46"/>
  <c r="E17" i="46"/>
  <c r="E18" i="46"/>
  <c r="G12" i="33"/>
  <c r="H12" i="33"/>
  <c r="G37" i="47"/>
  <c r="L19" i="24"/>
  <c r="F17" i="46"/>
  <c r="L11" i="16"/>
  <c r="F38" i="47"/>
  <c r="I16" i="47"/>
  <c r="I15" i="47"/>
  <c r="I21" i="47"/>
  <c r="F39" i="47"/>
  <c r="N13" i="20"/>
  <c r="G15" i="46"/>
  <c r="G13" i="46"/>
  <c r="M11" i="16"/>
  <c r="J6" i="25"/>
  <c r="J9" i="46"/>
  <c r="M19" i="24"/>
  <c r="G17" i="46"/>
  <c r="M20" i="24"/>
  <c r="M6" i="25"/>
  <c r="G9" i="34"/>
  <c r="F16" i="46"/>
  <c r="F15" i="46"/>
  <c r="F13" i="46"/>
  <c r="F18" i="46"/>
  <c r="H37" i="47"/>
  <c r="N12" i="19"/>
  <c r="O12" i="18"/>
  <c r="O9" i="18"/>
  <c r="G38" i="47"/>
  <c r="J16" i="47"/>
  <c r="O13" i="20"/>
  <c r="J15" i="47"/>
  <c r="J21" i="47"/>
  <c r="G39" i="47"/>
  <c r="N11" i="21"/>
  <c r="N10" i="24"/>
  <c r="N18" i="24"/>
  <c r="N19" i="24"/>
  <c r="G18" i="46"/>
  <c r="I37" i="47"/>
  <c r="H9" i="34"/>
  <c r="I12" i="33"/>
  <c r="N11" i="16"/>
  <c r="O10" i="24"/>
  <c r="O18" i="24"/>
  <c r="O19" i="24"/>
  <c r="H38" i="47"/>
  <c r="O12" i="19"/>
  <c r="O11" i="21"/>
  <c r="P12" i="18"/>
  <c r="P9" i="18"/>
  <c r="E26" i="47"/>
  <c r="P12" i="19"/>
  <c r="E25" i="47"/>
  <c r="E31" i="47"/>
  <c r="H39" i="47"/>
  <c r="N20" i="24"/>
  <c r="N6" i="25"/>
  <c r="D7" i="12"/>
  <c r="D7" i="47"/>
  <c r="D17" i="47"/>
  <c r="D37" i="47"/>
  <c r="E7" i="12"/>
  <c r="I9" i="34"/>
  <c r="H16" i="46"/>
  <c r="H15" i="46"/>
  <c r="H13" i="46"/>
  <c r="J12" i="33"/>
  <c r="O20" i="24"/>
  <c r="O6" i="25"/>
  <c r="O11" i="16"/>
  <c r="E8" i="12"/>
  <c r="I38" i="47"/>
  <c r="D8" i="12"/>
  <c r="D8" i="47"/>
  <c r="H18" i="46"/>
  <c r="P11" i="21"/>
  <c r="Q12" i="18"/>
  <c r="Q9" i="18"/>
  <c r="P13" i="20"/>
  <c r="P10" i="24"/>
  <c r="P18" i="24"/>
  <c r="P19" i="24"/>
  <c r="F26" i="47"/>
  <c r="Q10" i="24"/>
  <c r="Q18" i="24"/>
  <c r="D9" i="12"/>
  <c r="D9" i="47"/>
  <c r="I39" i="47"/>
  <c r="E9" i="12"/>
  <c r="F25" i="47"/>
  <c r="F31" i="47"/>
  <c r="D27" i="47"/>
  <c r="D21" i="34"/>
  <c r="H17" i="46"/>
  <c r="I16" i="46"/>
  <c r="I15" i="46"/>
  <c r="I13" i="46"/>
  <c r="I17" i="46"/>
  <c r="K12" i="33"/>
  <c r="D18" i="47"/>
  <c r="D38" i="47"/>
  <c r="D28" i="47"/>
  <c r="Q12" i="19"/>
  <c r="P20" i="24"/>
  <c r="P6" i="25"/>
  <c r="Q11" i="21"/>
  <c r="R12" i="18"/>
  <c r="R9" i="18"/>
  <c r="Q13" i="20"/>
  <c r="P11" i="16"/>
  <c r="G26" i="47"/>
  <c r="G25" i="47"/>
  <c r="G31" i="47"/>
  <c r="D19" i="47"/>
  <c r="D39" i="47"/>
  <c r="D29" i="47"/>
  <c r="Q20" i="24"/>
  <c r="Q6" i="25"/>
  <c r="Q19" i="24"/>
  <c r="E21" i="34"/>
  <c r="I18" i="46"/>
  <c r="J16" i="46"/>
  <c r="J15" i="46"/>
  <c r="J13" i="46"/>
  <c r="F19" i="33"/>
  <c r="Q11" i="16"/>
  <c r="S13" i="20"/>
  <c r="H26" i="47"/>
  <c r="H25" i="47"/>
  <c r="H31" i="47"/>
  <c r="S12" i="18"/>
  <c r="R11" i="16"/>
  <c r="R12" i="19"/>
  <c r="R11" i="21"/>
  <c r="R10" i="24"/>
  <c r="R13" i="20"/>
  <c r="F21" i="34"/>
  <c r="J18" i="46"/>
  <c r="J17" i="46"/>
  <c r="E25" i="46"/>
  <c r="E24" i="46"/>
  <c r="E22" i="46"/>
  <c r="G19" i="33"/>
  <c r="H7" i="27"/>
  <c r="H7" i="34"/>
  <c r="F7" i="27"/>
  <c r="F7" i="34"/>
  <c r="S10" i="24"/>
  <c r="S18" i="24"/>
  <c r="S19" i="24"/>
  <c r="T12" i="18"/>
  <c r="T9" i="18"/>
  <c r="S12" i="19"/>
  <c r="S11" i="21"/>
  <c r="I26" i="47"/>
  <c r="I25" i="47"/>
  <c r="I31" i="47"/>
  <c r="S9" i="18"/>
  <c r="R18" i="24"/>
  <c r="F25" i="46"/>
  <c r="G21" i="34"/>
  <c r="E26" i="46"/>
  <c r="E27" i="46"/>
  <c r="F24" i="46"/>
  <c r="F22" i="46"/>
  <c r="H19" i="33"/>
  <c r="G7" i="27"/>
  <c r="S20" i="24"/>
  <c r="S6" i="25"/>
  <c r="S11" i="16"/>
  <c r="V12" i="18"/>
  <c r="V9" i="18"/>
  <c r="J26" i="47"/>
  <c r="J25" i="47"/>
  <c r="J31" i="47"/>
  <c r="T11" i="21"/>
  <c r="T12" i="19"/>
  <c r="U12" i="18"/>
  <c r="T11" i="16"/>
  <c r="T13" i="20"/>
  <c r="T10" i="24"/>
  <c r="R20" i="24"/>
  <c r="F27" i="46"/>
  <c r="R19" i="24"/>
  <c r="F26" i="46"/>
  <c r="G7" i="34"/>
  <c r="H21" i="34"/>
  <c r="G25" i="46"/>
  <c r="G24" i="46"/>
  <c r="G22" i="46"/>
  <c r="I19" i="33"/>
  <c r="I7" i="27"/>
  <c r="I7" i="34"/>
  <c r="J7" i="27"/>
  <c r="D19" i="34"/>
  <c r="U10" i="24"/>
  <c r="U18" i="24"/>
  <c r="U20" i="24"/>
  <c r="U6" i="25"/>
  <c r="U11" i="21"/>
  <c r="U13" i="20"/>
  <c r="U12" i="19"/>
  <c r="E36" i="47"/>
  <c r="E35" i="47"/>
  <c r="E41" i="47"/>
  <c r="T18" i="24"/>
  <c r="U11" i="16"/>
  <c r="U9" i="18"/>
  <c r="R6" i="25"/>
  <c r="I21" i="34"/>
  <c r="G27" i="46"/>
  <c r="G26" i="46"/>
  <c r="H24" i="46"/>
  <c r="H22" i="46"/>
  <c r="J19" i="33"/>
  <c r="K7" i="27"/>
  <c r="U19" i="24"/>
  <c r="F26" i="33"/>
  <c r="F36" i="47"/>
  <c r="F35" i="47"/>
  <c r="F41" i="47"/>
  <c r="W12" i="18"/>
  <c r="V11" i="16"/>
  <c r="V13" i="20"/>
  <c r="K19" i="33"/>
  <c r="V11" i="21"/>
  <c r="V10" i="24"/>
  <c r="V12" i="19"/>
  <c r="T19" i="24"/>
  <c r="H26" i="46"/>
  <c r="T20" i="24"/>
  <c r="H27" i="46"/>
  <c r="H25" i="46"/>
  <c r="E19" i="34"/>
  <c r="D33" i="34"/>
  <c r="I25" i="46"/>
  <c r="I24" i="46"/>
  <c r="I22" i="46"/>
  <c r="L7" i="27"/>
  <c r="F19" i="34"/>
  <c r="X12" i="18"/>
  <c r="X9" i="18"/>
  <c r="W13" i="20"/>
  <c r="W11" i="21"/>
  <c r="W10" i="24"/>
  <c r="E33" i="46"/>
  <c r="E31" i="46"/>
  <c r="W12" i="19"/>
  <c r="G36" i="47"/>
  <c r="G35" i="47"/>
  <c r="G41" i="47"/>
  <c r="T6" i="25"/>
  <c r="V18" i="24"/>
  <c r="J24" i="46"/>
  <c r="J22" i="46"/>
  <c r="W9" i="18"/>
  <c r="E33" i="34"/>
  <c r="I26" i="46"/>
  <c r="I27" i="46"/>
  <c r="M7" i="27"/>
  <c r="W11" i="16"/>
  <c r="W18" i="24"/>
  <c r="E34" i="46"/>
  <c r="H26" i="33"/>
  <c r="H36" i="47"/>
  <c r="H35" i="47"/>
  <c r="H41" i="47"/>
  <c r="J25" i="46"/>
  <c r="V20" i="24"/>
  <c r="V19" i="24"/>
  <c r="Y12" i="18"/>
  <c r="X13" i="20"/>
  <c r="G26" i="33"/>
  <c r="X10" i="24"/>
  <c r="X12" i="19"/>
  <c r="X11" i="21"/>
  <c r="G19" i="34"/>
  <c r="F33" i="34"/>
  <c r="N7" i="27"/>
  <c r="H19" i="34"/>
  <c r="W19" i="24"/>
  <c r="E35" i="46"/>
  <c r="W20" i="24"/>
  <c r="W6" i="25"/>
  <c r="V7" i="27"/>
  <c r="D43" i="34"/>
  <c r="Z12" i="18"/>
  <c r="Z9" i="18"/>
  <c r="Y11" i="21"/>
  <c r="Y10" i="24"/>
  <c r="Y18" i="24"/>
  <c r="Y13" i="20"/>
  <c r="Y12" i="19"/>
  <c r="I36" i="47"/>
  <c r="D6" i="12"/>
  <c r="D6" i="47"/>
  <c r="E6" i="12"/>
  <c r="Z12" i="19"/>
  <c r="I35" i="47"/>
  <c r="E5" i="12"/>
  <c r="D5" i="12"/>
  <c r="D5" i="47"/>
  <c r="Y9" i="18"/>
  <c r="J26" i="46"/>
  <c r="J27" i="46"/>
  <c r="V6" i="25"/>
  <c r="X11" i="16"/>
  <c r="F33" i="46"/>
  <c r="F31" i="46"/>
  <c r="X18" i="24"/>
  <c r="G33" i="34"/>
  <c r="O7" i="27"/>
  <c r="E36" i="46"/>
  <c r="G33" i="46"/>
  <c r="G31" i="46"/>
  <c r="Y11" i="16"/>
  <c r="Z11" i="21"/>
  <c r="I26" i="33"/>
  <c r="Z10" i="24"/>
  <c r="H33" i="46"/>
  <c r="H31" i="46"/>
  <c r="AA12" i="18"/>
  <c r="AA9" i="18"/>
  <c r="D16" i="47"/>
  <c r="D36" i="47"/>
  <c r="D26" i="47"/>
  <c r="Z13" i="20"/>
  <c r="I41" i="47"/>
  <c r="D11" i="12"/>
  <c r="D11" i="47"/>
  <c r="D21" i="47"/>
  <c r="D41" i="47"/>
  <c r="E11" i="12"/>
  <c r="G34" i="46"/>
  <c r="Y19" i="24"/>
  <c r="G35" i="46"/>
  <c r="Y20" i="24"/>
  <c r="U7" i="27"/>
  <c r="I31" i="34"/>
  <c r="D15" i="47"/>
  <c r="D35" i="47"/>
  <c r="D25" i="47"/>
  <c r="F34" i="46"/>
  <c r="X19" i="24"/>
  <c r="X20" i="24"/>
  <c r="I19" i="34"/>
  <c r="H33" i="34"/>
  <c r="P7" i="27"/>
  <c r="D31" i="34"/>
  <c r="Z18" i="24"/>
  <c r="Z20" i="24"/>
  <c r="Z11" i="16"/>
  <c r="X6" i="25"/>
  <c r="F36" i="46"/>
  <c r="F35" i="46"/>
  <c r="Y6" i="25"/>
  <c r="X7" i="27"/>
  <c r="F43" i="34"/>
  <c r="G36" i="46"/>
  <c r="D31" i="47"/>
  <c r="AA10" i="24"/>
  <c r="AB12" i="18"/>
  <c r="AA13" i="20"/>
  <c r="D13" i="20"/>
  <c r="J26" i="33"/>
  <c r="AA11" i="21"/>
  <c r="D11" i="21"/>
  <c r="AA12" i="19"/>
  <c r="D12" i="19"/>
  <c r="I33" i="34"/>
  <c r="Q7" i="27"/>
  <c r="E31" i="34"/>
  <c r="Z19" i="24"/>
  <c r="H35" i="46"/>
  <c r="H34" i="46"/>
  <c r="Z6" i="25"/>
  <c r="Y7" i="27"/>
  <c r="G43" i="34"/>
  <c r="H36" i="46"/>
  <c r="I33" i="46"/>
  <c r="I31" i="46"/>
  <c r="AA18" i="24"/>
  <c r="F6" i="26"/>
  <c r="D10" i="24"/>
  <c r="AB9" i="18"/>
  <c r="E9" i="18"/>
  <c r="E12" i="18"/>
  <c r="AA11" i="16"/>
  <c r="D11" i="16"/>
  <c r="W7" i="27"/>
  <c r="E43" i="34"/>
  <c r="R7" i="27"/>
  <c r="F31" i="34"/>
  <c r="D4" i="46"/>
  <c r="F4" i="26"/>
  <c r="AA20" i="24"/>
  <c r="AA19" i="24"/>
  <c r="I34" i="46"/>
  <c r="J6" i="26"/>
  <c r="D18" i="24"/>
  <c r="J4" i="26"/>
  <c r="S7" i="27"/>
  <c r="G31" i="34"/>
  <c r="I35" i="46"/>
  <c r="D19" i="24"/>
  <c r="K4" i="26"/>
  <c r="K6" i="26"/>
  <c r="I36" i="46"/>
  <c r="AA6" i="25"/>
  <c r="D20" i="24"/>
  <c r="L4" i="26"/>
  <c r="L6" i="26"/>
  <c r="T7" i="27"/>
  <c r="Z7" i="27"/>
  <c r="H43" i="34"/>
  <c r="I9" i="26"/>
  <c r="D6" i="25"/>
  <c r="H31" i="34"/>
  <c r="U19" i="8"/>
  <c r="T19" i="8"/>
  <c r="S19" i="8"/>
  <c r="R19" i="8"/>
  <c r="Q19" i="8"/>
  <c r="P19" i="8"/>
  <c r="O19" i="8"/>
  <c r="N19" i="8"/>
  <c r="M19" i="8"/>
  <c r="L19" i="8"/>
  <c r="K19" i="8"/>
  <c r="J19" i="8"/>
  <c r="I19" i="8"/>
  <c r="H19" i="8"/>
  <c r="G19" i="8"/>
  <c r="F19" i="8"/>
  <c r="E19" i="8"/>
  <c r="U12" i="8"/>
  <c r="T12" i="8"/>
  <c r="S12" i="8"/>
  <c r="R12" i="8"/>
  <c r="Q12" i="8"/>
  <c r="P12" i="8"/>
  <c r="O12" i="8"/>
  <c r="N12" i="8"/>
  <c r="M12" i="8"/>
  <c r="L12" i="8"/>
  <c r="K12" i="8"/>
  <c r="J12" i="8"/>
  <c r="I12" i="8"/>
  <c r="H12" i="8"/>
  <c r="G12" i="8"/>
  <c r="F12" i="8"/>
  <c r="E12" i="8"/>
  <c r="U5" i="8"/>
  <c r="T5" i="8"/>
  <c r="S5" i="8"/>
  <c r="R5" i="8"/>
  <c r="Q5" i="8"/>
  <c r="P5" i="8"/>
  <c r="O5" i="8"/>
  <c r="N5" i="8"/>
  <c r="M5" i="8"/>
  <c r="L5" i="8"/>
  <c r="K5" i="8"/>
  <c r="J5" i="8"/>
  <c r="I5" i="8"/>
  <c r="H5" i="8"/>
  <c r="G5" i="8"/>
  <c r="F5" i="8"/>
  <c r="E5" i="8"/>
  <c r="G25" i="13"/>
  <c r="E5" i="33"/>
  <c r="G26" i="13"/>
  <c r="J6" i="45"/>
  <c r="E13" i="45"/>
  <c r="I6" i="45"/>
  <c r="I7" i="45"/>
  <c r="E14" i="45"/>
  <c r="J7" i="45"/>
  <c r="E12" i="33"/>
  <c r="E19" i="33"/>
  <c r="E26" i="33"/>
  <c r="D9" i="29"/>
  <c r="D8" i="29"/>
  <c r="D6" i="46"/>
  <c r="H6" i="45"/>
  <c r="H7" i="45"/>
  <c r="F14" i="45"/>
  <c r="D24" i="46"/>
  <c r="D15" i="46"/>
  <c r="D33" i="46"/>
  <c r="F13" i="45"/>
  <c r="G13" i="45"/>
  <c r="G14" i="45"/>
  <c r="H14" i="45"/>
  <c r="H13" i="45"/>
  <c r="I13" i="45"/>
  <c r="I14" i="45"/>
  <c r="J13" i="45"/>
  <c r="J14" i="45"/>
  <c r="E20" i="45"/>
  <c r="E21" i="45"/>
  <c r="F20" i="45"/>
  <c r="F21" i="45"/>
  <c r="G20" i="45"/>
  <c r="G21" i="45"/>
  <c r="H20" i="45"/>
  <c r="H21" i="45"/>
  <c r="I20" i="45"/>
  <c r="I21" i="45"/>
  <c r="E27" i="45"/>
  <c r="J20" i="45"/>
  <c r="E28" i="45"/>
  <c r="J21" i="45"/>
  <c r="F2" i="4"/>
  <c r="D16" i="4"/>
  <c r="D14" i="39"/>
  <c r="F27" i="45"/>
  <c r="G27" i="45"/>
  <c r="F28" i="45"/>
  <c r="M14" i="39"/>
  <c r="M25" i="39"/>
  <c r="M36" i="39"/>
  <c r="M47" i="39"/>
  <c r="D25" i="39"/>
  <c r="D36" i="39"/>
  <c r="D47" i="39"/>
  <c r="D58" i="39"/>
  <c r="H27" i="45"/>
  <c r="G28" i="45"/>
  <c r="J22" i="6"/>
  <c r="I27" i="45"/>
  <c r="D11" i="13"/>
  <c r="D6" i="45"/>
  <c r="D13" i="45"/>
  <c r="D20" i="45"/>
  <c r="D27" i="45"/>
  <c r="H28" i="45"/>
  <c r="D12" i="29"/>
  <c r="I28" i="45"/>
  <c r="D12" i="13"/>
  <c r="D7" i="45"/>
  <c r="D14" i="45"/>
  <c r="D21" i="45"/>
  <c r="D28" i="45"/>
  <c r="F15" i="18"/>
  <c r="F16" i="18"/>
  <c r="G4" i="33"/>
  <c r="G7" i="33"/>
  <c r="E6" i="27"/>
  <c r="E6" i="34"/>
  <c r="F4" i="20"/>
  <c r="G19" i="18"/>
  <c r="G20" i="18"/>
  <c r="E14" i="22"/>
  <c r="E12" i="22"/>
  <c r="G5" i="18"/>
  <c r="F13" i="19"/>
  <c r="F15" i="20"/>
  <c r="F15" i="24"/>
  <c r="H4" i="33"/>
  <c r="G16" i="18"/>
  <c r="G14" i="18"/>
  <c r="G15" i="18"/>
  <c r="G13" i="18"/>
  <c r="F8" i="24"/>
  <c r="F4" i="46"/>
  <c r="F16" i="24"/>
  <c r="F14" i="24"/>
  <c r="F21" i="24"/>
  <c r="F14" i="20"/>
  <c r="F14" i="16"/>
  <c r="F14" i="19"/>
  <c r="F12" i="21"/>
  <c r="F8" i="46"/>
  <c r="F7" i="46"/>
  <c r="E8" i="24"/>
  <c r="E5" i="46"/>
  <c r="E4" i="46"/>
  <c r="F10" i="21"/>
  <c r="F5" i="21"/>
  <c r="F9" i="46"/>
  <c r="D7" i="46"/>
  <c r="E7" i="46"/>
  <c r="E7" i="27"/>
  <c r="D23" i="46"/>
  <c r="D14" i="46"/>
  <c r="D32" i="46"/>
  <c r="D8" i="46"/>
  <c r="E8" i="46"/>
  <c r="D13" i="46"/>
  <c r="D31" i="46"/>
  <c r="D22" i="46"/>
  <c r="D9" i="46"/>
  <c r="E9" i="46"/>
  <c r="D25" i="46"/>
  <c r="D16" i="46"/>
  <c r="D34" i="46"/>
  <c r="I8" i="26"/>
  <c r="D7" i="27"/>
  <c r="G4" i="28" a="1"/>
  <c r="G4" i="28"/>
  <c r="E7" i="34"/>
  <c r="D27" i="46"/>
  <c r="D18" i="46"/>
  <c r="D36" i="46"/>
  <c r="D26" i="46"/>
  <c r="D17" i="46"/>
  <c r="D35" i="46"/>
  <c r="D7" i="34"/>
  <c r="D30" i="13"/>
  <c r="I5" i="45"/>
  <c r="H8" i="45"/>
  <c r="H5" i="45"/>
  <c r="E12" i="45"/>
  <c r="J5" i="45"/>
  <c r="I8" i="45"/>
  <c r="I8" i="18"/>
  <c r="H6" i="19"/>
  <c r="H6" i="20"/>
  <c r="F12" i="45"/>
  <c r="H9" i="16"/>
  <c r="J8" i="45"/>
  <c r="E15" i="45"/>
  <c r="I6" i="20"/>
  <c r="I6" i="19"/>
  <c r="J8" i="18"/>
  <c r="I9" i="16"/>
  <c r="G12" i="24"/>
  <c r="H6" i="33"/>
  <c r="H12" i="45"/>
  <c r="F15" i="45"/>
  <c r="K6" i="19"/>
  <c r="L8" i="18"/>
  <c r="K9" i="16"/>
  <c r="K6" i="20"/>
  <c r="K8" i="18"/>
  <c r="J9" i="16"/>
  <c r="J6" i="19"/>
  <c r="J6" i="20"/>
  <c r="G12" i="45"/>
  <c r="G8" i="24"/>
  <c r="I6" i="33"/>
  <c r="H12" i="24"/>
  <c r="I17" i="18"/>
  <c r="H7" i="33"/>
  <c r="G4" i="20"/>
  <c r="G15" i="45"/>
  <c r="L6" i="20"/>
  <c r="L6" i="19"/>
  <c r="M8" i="18"/>
  <c r="L9" i="16"/>
  <c r="H8" i="24"/>
  <c r="J6" i="33"/>
  <c r="I12" i="24"/>
  <c r="I8" i="24"/>
  <c r="J12" i="24"/>
  <c r="J8" i="24"/>
  <c r="K6" i="33"/>
  <c r="I12" i="45"/>
  <c r="F6" i="27"/>
  <c r="M6" i="19"/>
  <c r="N8" i="18"/>
  <c r="M6" i="20"/>
  <c r="H15" i="45"/>
  <c r="H19" i="18"/>
  <c r="F6" i="34"/>
  <c r="K12" i="24"/>
  <c r="F13" i="33"/>
  <c r="M9" i="16"/>
  <c r="N6" i="19"/>
  <c r="O8" i="18"/>
  <c r="N9" i="16"/>
  <c r="N6" i="20"/>
  <c r="J12" i="45"/>
  <c r="I15" i="45"/>
  <c r="K8" i="24"/>
  <c r="H20" i="18"/>
  <c r="F14" i="22"/>
  <c r="F12" i="22"/>
  <c r="E19" i="45"/>
  <c r="L12" i="24"/>
  <c r="G13" i="33"/>
  <c r="L8" i="24"/>
  <c r="H5" i="18"/>
  <c r="G15" i="24"/>
  <c r="O6" i="19"/>
  <c r="P8" i="18"/>
  <c r="O9" i="16"/>
  <c r="O6" i="20"/>
  <c r="J15" i="45"/>
  <c r="G15" i="20"/>
  <c r="F19" i="45"/>
  <c r="M12" i="24"/>
  <c r="H13" i="33"/>
  <c r="H15" i="18"/>
  <c r="H14" i="18"/>
  <c r="H16" i="18"/>
  <c r="G13" i="19"/>
  <c r="E22" i="45"/>
  <c r="P6" i="19"/>
  <c r="Q8" i="18"/>
  <c r="P9" i="16"/>
  <c r="P6" i="20"/>
  <c r="M8" i="24"/>
  <c r="N12" i="24"/>
  <c r="N8" i="24"/>
  <c r="I13" i="33"/>
  <c r="H13" i="18"/>
  <c r="G16" i="24"/>
  <c r="G14" i="24"/>
  <c r="G21" i="24"/>
  <c r="G19" i="45"/>
  <c r="F22" i="45"/>
  <c r="Q6" i="20"/>
  <c r="Q6" i="19"/>
  <c r="R8" i="18"/>
  <c r="Q9" i="16"/>
  <c r="G12" i="21"/>
  <c r="H19" i="45"/>
  <c r="O12" i="24"/>
  <c r="J13" i="33"/>
  <c r="G14" i="16"/>
  <c r="G14" i="19"/>
  <c r="G14" i="20"/>
  <c r="G10" i="21"/>
  <c r="G5" i="21"/>
  <c r="O8" i="24"/>
  <c r="G22" i="45"/>
  <c r="S8" i="18"/>
  <c r="R9" i="16"/>
  <c r="R6" i="20"/>
  <c r="R6" i="19"/>
  <c r="P12" i="24"/>
  <c r="P8" i="24"/>
  <c r="K13" i="33"/>
  <c r="I19" i="45"/>
  <c r="H22" i="45"/>
  <c r="S6" i="19"/>
  <c r="T8" i="18"/>
  <c r="S9" i="16"/>
  <c r="S6" i="20"/>
  <c r="Q12" i="24"/>
  <c r="F20" i="33"/>
  <c r="E26" i="45"/>
  <c r="J19" i="45"/>
  <c r="Q8" i="24"/>
  <c r="I22" i="45"/>
  <c r="T6" i="20"/>
  <c r="U8" i="18"/>
  <c r="T9" i="16"/>
  <c r="T6" i="19"/>
  <c r="R12" i="24"/>
  <c r="R8" i="24"/>
  <c r="G20" i="33"/>
  <c r="F26" i="45"/>
  <c r="E29" i="45"/>
  <c r="U6" i="19"/>
  <c r="V8" i="18"/>
  <c r="U9" i="16"/>
  <c r="U6" i="20"/>
  <c r="J22" i="45"/>
  <c r="S12" i="24"/>
  <c r="S8" i="24"/>
  <c r="H20" i="33"/>
  <c r="F29" i="45"/>
  <c r="G26" i="45"/>
  <c r="F27" i="33"/>
  <c r="X8" i="18"/>
  <c r="W9" i="16"/>
  <c r="W6" i="19"/>
  <c r="W6" i="20"/>
  <c r="W12" i="24"/>
  <c r="W8" i="24"/>
  <c r="V12" i="24"/>
  <c r="V6" i="19"/>
  <c r="W8" i="18"/>
  <c r="V6" i="20"/>
  <c r="K20" i="33"/>
  <c r="T12" i="24"/>
  <c r="T8" i="24"/>
  <c r="I20" i="33"/>
  <c r="G29" i="45"/>
  <c r="X6" i="20"/>
  <c r="X12" i="24"/>
  <c r="X8" i="24"/>
  <c r="X6" i="19"/>
  <c r="Y8" i="18"/>
  <c r="X9" i="16"/>
  <c r="G27" i="33"/>
  <c r="H26" i="45"/>
  <c r="V9" i="16"/>
  <c r="V8" i="24"/>
  <c r="U12" i="24"/>
  <c r="J20" i="33"/>
  <c r="I26" i="45"/>
  <c r="D13" i="13"/>
  <c r="D8" i="45"/>
  <c r="D15" i="45"/>
  <c r="D22" i="45"/>
  <c r="D29" i="45"/>
  <c r="D10" i="13"/>
  <c r="D5" i="45"/>
  <c r="D12" i="45"/>
  <c r="D19" i="45"/>
  <c r="D26" i="45"/>
  <c r="Y6" i="19"/>
  <c r="Z8" i="18"/>
  <c r="Y9" i="16"/>
  <c r="H27" i="33"/>
  <c r="Y6" i="20"/>
  <c r="Y12" i="24"/>
  <c r="Y8" i="24"/>
  <c r="H29" i="45"/>
  <c r="U8" i="24"/>
  <c r="Z6" i="19"/>
  <c r="I27" i="33"/>
  <c r="Z12" i="24"/>
  <c r="Z6" i="20"/>
  <c r="AA8" i="18"/>
  <c r="Z9" i="16"/>
  <c r="I29" i="45"/>
  <c r="F13" i="18"/>
  <c r="E12" i="21"/>
  <c r="E10" i="21"/>
  <c r="AA6" i="20"/>
  <c r="D6" i="20"/>
  <c r="AA12" i="24"/>
  <c r="AA8" i="24"/>
  <c r="J27" i="33"/>
  <c r="AB8" i="18"/>
  <c r="AA9" i="16"/>
  <c r="D9" i="16"/>
  <c r="AA6" i="19"/>
  <c r="D6" i="19"/>
  <c r="Z8" i="24"/>
  <c r="E6" i="33"/>
  <c r="E13" i="33"/>
  <c r="E20" i="33"/>
  <c r="E27" i="33"/>
  <c r="E14" i="19"/>
  <c r="E16" i="24"/>
  <c r="E14" i="24"/>
  <c r="E21" i="24"/>
  <c r="E14" i="16"/>
  <c r="E14" i="20"/>
  <c r="E5" i="21"/>
  <c r="E8" i="18"/>
  <c r="D8" i="24"/>
  <c r="G6" i="26"/>
  <c r="C6" i="26"/>
  <c r="D12" i="24"/>
  <c r="G4" i="26"/>
  <c r="C4" i="26"/>
  <c r="D25" i="19"/>
  <c r="H14" i="21"/>
  <c r="H18" i="21"/>
  <c r="K4" i="23"/>
  <c r="G5" i="23"/>
  <c r="G4" i="23"/>
  <c r="G9" i="23"/>
  <c r="H5" i="23"/>
  <c r="H4" i="23"/>
  <c r="H9" i="23"/>
  <c r="I5" i="23"/>
  <c r="I4" i="23"/>
  <c r="I9" i="23"/>
  <c r="J5" i="23"/>
  <c r="J4" i="23"/>
  <c r="J9" i="23"/>
  <c r="K5" i="23"/>
  <c r="K9" i="23"/>
  <c r="L5" i="23"/>
  <c r="L4" i="23"/>
  <c r="L9" i="23"/>
  <c r="E12" i="20"/>
  <c r="F12" i="20"/>
  <c r="G12" i="20"/>
  <c r="E30" i="21"/>
  <c r="E29" i="21"/>
  <c r="F30" i="21"/>
  <c r="F29" i="21"/>
  <c r="G30" i="21"/>
  <c r="G29" i="21"/>
  <c r="E12" i="16"/>
  <c r="E10" i="16"/>
  <c r="E15" i="16"/>
  <c r="F12" i="16"/>
  <c r="F10" i="16"/>
  <c r="F15" i="16"/>
  <c r="F19" i="16"/>
  <c r="G12" i="16"/>
  <c r="G10" i="16"/>
  <c r="G15" i="16"/>
  <c r="G23" i="16"/>
  <c r="G24" i="16"/>
  <c r="G18" i="19"/>
  <c r="F23" i="16"/>
  <c r="F24" i="16"/>
  <c r="F18" i="19"/>
  <c r="G19" i="16"/>
  <c r="E19" i="16"/>
  <c r="E20" i="16"/>
  <c r="D22" i="22"/>
  <c r="E23" i="16"/>
  <c r="E24" i="16"/>
  <c r="F20" i="16"/>
  <c r="E22" i="22"/>
  <c r="E18" i="19"/>
  <c r="G20" i="16"/>
  <c r="F22" i="22"/>
  <c r="M16" i="20"/>
  <c r="M17" i="24"/>
  <c r="M5" i="23"/>
  <c r="M4" i="23"/>
  <c r="M9" i="23"/>
  <c r="N5" i="23"/>
  <c r="N4" i="23"/>
  <c r="N9" i="23"/>
  <c r="N16" i="20"/>
  <c r="N17" i="24"/>
  <c r="S12" i="22"/>
  <c r="T12" i="22"/>
  <c r="U12" i="22"/>
  <c r="O16" i="20"/>
  <c r="O17" i="24"/>
  <c r="O5" i="23"/>
  <c r="O4" i="23"/>
  <c r="O9" i="23"/>
  <c r="P16" i="20"/>
  <c r="P17" i="24"/>
  <c r="P5" i="23"/>
  <c r="P4" i="23"/>
  <c r="P9" i="23"/>
  <c r="Q5" i="23"/>
  <c r="Q4" i="23"/>
  <c r="Q9" i="23"/>
  <c r="D24" i="19"/>
  <c r="K27" i="37"/>
  <c r="K28" i="37"/>
  <c r="K36" i="37"/>
  <c r="K29" i="37"/>
  <c r="K30" i="37"/>
  <c r="K32" i="37"/>
  <c r="K33" i="37"/>
  <c r="K34" i="37"/>
  <c r="L54" i="28"/>
  <c r="L53" i="28"/>
  <c r="L52" i="28"/>
  <c r="L51" i="28"/>
  <c r="L50" i="28"/>
  <c r="L49" i="28"/>
  <c r="L48" i="28"/>
  <c r="L47" i="28"/>
  <c r="L46" i="28"/>
  <c r="L45" i="28"/>
  <c r="L44" i="28"/>
  <c r="L43" i="28"/>
  <c r="L42" i="28"/>
  <c r="L41" i="28"/>
  <c r="L40" i="28"/>
  <c r="L39" i="28"/>
  <c r="L38" i="28"/>
  <c r="L37" i="28"/>
  <c r="L36" i="28"/>
  <c r="L35" i="28"/>
  <c r="L34" i="28"/>
  <c r="L33" i="28"/>
  <c r="K54" i="28"/>
  <c r="K53" i="28"/>
  <c r="K52" i="28"/>
  <c r="K51" i="28"/>
  <c r="K50" i="28"/>
  <c r="K49" i="28"/>
  <c r="K48" i="28"/>
  <c r="K47" i="28"/>
  <c r="K46" i="28"/>
  <c r="K45" i="28"/>
  <c r="K44" i="28"/>
  <c r="K43" i="28"/>
  <c r="K42" i="28"/>
  <c r="K41" i="28"/>
  <c r="K40" i="28"/>
  <c r="K39" i="28"/>
  <c r="K38" i="28"/>
  <c r="K37" i="28"/>
  <c r="K36" i="28"/>
  <c r="K35" i="28"/>
  <c r="K34" i="28"/>
  <c r="K33" i="28"/>
  <c r="G26" i="28"/>
  <c r="G25" i="28"/>
  <c r="G24" i="28"/>
  <c r="G23" i="28"/>
  <c r="G22" i="28"/>
  <c r="G21" i="28"/>
  <c r="G20" i="28"/>
  <c r="G19" i="28"/>
  <c r="G18" i="28"/>
  <c r="G17" i="28"/>
  <c r="G16" i="28"/>
  <c r="G15" i="28"/>
  <c r="G14" i="28"/>
  <c r="G13" i="28"/>
  <c r="G12" i="28"/>
  <c r="G11" i="28"/>
  <c r="G10" i="28"/>
  <c r="G9" i="28"/>
  <c r="G8" i="28"/>
  <c r="G7" i="28"/>
  <c r="G6" i="28"/>
  <c r="G5" i="28"/>
  <c r="G27" i="28"/>
  <c r="F6" i="28" a="1"/>
  <c r="F6" i="28"/>
  <c r="D4" i="19"/>
  <c r="H4" i="19"/>
  <c r="I4" i="19"/>
  <c r="J4" i="19"/>
  <c r="K4" i="19"/>
  <c r="L4" i="19"/>
  <c r="M4" i="19"/>
  <c r="N4" i="19"/>
  <c r="O4" i="19"/>
  <c r="P4" i="19"/>
  <c r="Q4" i="19"/>
  <c r="R4" i="19"/>
  <c r="S4" i="19"/>
  <c r="T4" i="19"/>
  <c r="U4" i="19"/>
  <c r="V4" i="19"/>
  <c r="W4" i="19"/>
  <c r="X4" i="19"/>
  <c r="Y4" i="19"/>
  <c r="Z4" i="19"/>
  <c r="AA4" i="19"/>
  <c r="D5" i="19"/>
  <c r="H5" i="19"/>
  <c r="I5" i="19"/>
  <c r="J5" i="19"/>
  <c r="K5" i="19"/>
  <c r="L5" i="19"/>
  <c r="M5" i="19"/>
  <c r="N5" i="19"/>
  <c r="O5" i="19"/>
  <c r="P5" i="19"/>
  <c r="Q5" i="19"/>
  <c r="R5" i="19"/>
  <c r="S5" i="19"/>
  <c r="T5" i="19"/>
  <c r="U5" i="19"/>
  <c r="V5" i="19"/>
  <c r="W5" i="19"/>
  <c r="X5" i="19"/>
  <c r="Y5" i="19"/>
  <c r="Z5" i="19"/>
  <c r="AA5" i="19"/>
  <c r="D9" i="19"/>
  <c r="E9" i="19"/>
  <c r="F9" i="19"/>
  <c r="G9" i="19"/>
  <c r="H9" i="19"/>
  <c r="I9" i="19"/>
  <c r="J9" i="19"/>
  <c r="K9" i="19"/>
  <c r="L9" i="19"/>
  <c r="M9" i="19"/>
  <c r="N9" i="19"/>
  <c r="O9" i="19"/>
  <c r="P9" i="19"/>
  <c r="Q9" i="19"/>
  <c r="R9" i="19"/>
  <c r="S9" i="19"/>
  <c r="T9" i="19"/>
  <c r="U9" i="19"/>
  <c r="V9" i="19"/>
  <c r="W9" i="19"/>
  <c r="X9" i="19"/>
  <c r="Y9" i="19"/>
  <c r="Z9" i="19"/>
  <c r="AA9" i="19"/>
  <c r="D10" i="19"/>
  <c r="E10" i="19"/>
  <c r="F10" i="19"/>
  <c r="G10" i="19"/>
  <c r="D13" i="19"/>
  <c r="H13" i="19"/>
  <c r="I13" i="19"/>
  <c r="J13" i="19"/>
  <c r="K13" i="19"/>
  <c r="L13" i="19"/>
  <c r="M13" i="19"/>
  <c r="N13" i="19"/>
  <c r="O13" i="19"/>
  <c r="P13" i="19"/>
  <c r="Q13" i="19"/>
  <c r="R13" i="19"/>
  <c r="S13" i="19"/>
  <c r="T13" i="19"/>
  <c r="U13" i="19"/>
  <c r="V13" i="19"/>
  <c r="W13" i="19"/>
  <c r="X13" i="19"/>
  <c r="Y13" i="19"/>
  <c r="Z13" i="19"/>
  <c r="AA13" i="19"/>
  <c r="D14" i="19"/>
  <c r="H14" i="19"/>
  <c r="I14" i="19"/>
  <c r="J14" i="19"/>
  <c r="K14" i="19"/>
  <c r="L14" i="19"/>
  <c r="M14" i="19"/>
  <c r="N14" i="19"/>
  <c r="O14" i="19"/>
  <c r="P14" i="19"/>
  <c r="Q14" i="19"/>
  <c r="R14" i="19"/>
  <c r="S14" i="19"/>
  <c r="T14" i="19"/>
  <c r="U14" i="19"/>
  <c r="V14" i="19"/>
  <c r="W14" i="19"/>
  <c r="X14" i="19"/>
  <c r="Y14" i="19"/>
  <c r="Z14" i="19"/>
  <c r="AA14" i="19"/>
  <c r="D16" i="19"/>
  <c r="E16" i="19"/>
  <c r="F16" i="19"/>
  <c r="G16" i="19"/>
  <c r="H16" i="19"/>
  <c r="I16" i="19"/>
  <c r="J16" i="19"/>
  <c r="K16" i="19"/>
  <c r="L16" i="19"/>
  <c r="M16" i="19"/>
  <c r="N16" i="19"/>
  <c r="O16" i="19"/>
  <c r="P16" i="19"/>
  <c r="Q16" i="19"/>
  <c r="R16" i="19"/>
  <c r="S16" i="19"/>
  <c r="T16" i="19"/>
  <c r="U16" i="19"/>
  <c r="V16" i="19"/>
  <c r="W16" i="19"/>
  <c r="X16" i="19"/>
  <c r="Y16" i="19"/>
  <c r="Z16" i="19"/>
  <c r="AA16" i="19"/>
  <c r="E17" i="19"/>
  <c r="F17" i="19"/>
  <c r="G17" i="19"/>
  <c r="H17" i="19"/>
  <c r="I17" i="19"/>
  <c r="J17" i="19"/>
  <c r="K17" i="19"/>
  <c r="L17" i="19"/>
  <c r="M17" i="19"/>
  <c r="N17" i="19"/>
  <c r="O17" i="19"/>
  <c r="P17" i="19"/>
  <c r="Q17" i="19"/>
  <c r="R17" i="19"/>
  <c r="S17" i="19"/>
  <c r="T17" i="19"/>
  <c r="U17" i="19"/>
  <c r="V17" i="19"/>
  <c r="W17" i="19"/>
  <c r="X17" i="19"/>
  <c r="Y17" i="19"/>
  <c r="Z17" i="19"/>
  <c r="AA17" i="19"/>
  <c r="D18" i="19"/>
  <c r="H18" i="19"/>
  <c r="I18" i="19"/>
  <c r="J18" i="19"/>
  <c r="K18" i="19"/>
  <c r="L18" i="19"/>
  <c r="M18" i="19"/>
  <c r="N18" i="19"/>
  <c r="O18" i="19"/>
  <c r="P18" i="19"/>
  <c r="Q18" i="19"/>
  <c r="R18" i="19"/>
  <c r="S18" i="19"/>
  <c r="T18" i="19"/>
  <c r="U18" i="19"/>
  <c r="V18" i="19"/>
  <c r="W18" i="19"/>
  <c r="X18" i="19"/>
  <c r="Y18" i="19"/>
  <c r="Z18" i="19"/>
  <c r="AA18" i="19"/>
  <c r="D19" i="19"/>
  <c r="E19" i="19"/>
  <c r="F19" i="19"/>
  <c r="G19" i="19"/>
  <c r="H19" i="19"/>
  <c r="I19" i="19"/>
  <c r="J19" i="19"/>
  <c r="K19" i="19"/>
  <c r="L19" i="19"/>
  <c r="M19" i="19"/>
  <c r="N19" i="19"/>
  <c r="O19" i="19"/>
  <c r="P19" i="19"/>
  <c r="Q19" i="19"/>
  <c r="R19" i="19"/>
  <c r="S19" i="19"/>
  <c r="T19" i="19"/>
  <c r="U19" i="19"/>
  <c r="V19" i="19"/>
  <c r="W19" i="19"/>
  <c r="X19" i="19"/>
  <c r="Y19" i="19"/>
  <c r="Z19" i="19"/>
  <c r="AA19" i="19"/>
  <c r="E20" i="19"/>
  <c r="F20" i="19"/>
  <c r="G20" i="19"/>
  <c r="H20" i="19"/>
  <c r="I20" i="19"/>
  <c r="J20" i="19"/>
  <c r="K20" i="19"/>
  <c r="L20" i="19"/>
  <c r="M20" i="19"/>
  <c r="N20" i="19"/>
  <c r="O20" i="19"/>
  <c r="P20" i="19"/>
  <c r="Q20" i="19"/>
  <c r="R20" i="19"/>
  <c r="S20" i="19"/>
  <c r="T20" i="19"/>
  <c r="U20" i="19"/>
  <c r="V20" i="19"/>
  <c r="W20" i="19"/>
  <c r="X20" i="19"/>
  <c r="Y20" i="19"/>
  <c r="Z20" i="19"/>
  <c r="AA20" i="19"/>
  <c r="D22" i="19"/>
  <c r="H22" i="19"/>
  <c r="D23" i="19"/>
  <c r="H23" i="19"/>
  <c r="E24" i="19"/>
  <c r="F24" i="19"/>
  <c r="G24" i="19"/>
  <c r="H24" i="19"/>
  <c r="I24" i="19"/>
  <c r="J24" i="19"/>
  <c r="K24" i="19"/>
  <c r="L24" i="19"/>
  <c r="M24" i="19"/>
  <c r="N24" i="19"/>
  <c r="O24" i="19"/>
  <c r="P24" i="19"/>
  <c r="Q24" i="19"/>
  <c r="R24" i="19"/>
  <c r="S24" i="19"/>
  <c r="T24" i="19"/>
  <c r="U24" i="19"/>
  <c r="V24" i="19"/>
  <c r="W24" i="19"/>
  <c r="X24" i="19"/>
  <c r="Y24" i="19"/>
  <c r="Z24" i="19"/>
  <c r="AA24" i="19"/>
  <c r="E25" i="19"/>
  <c r="F25" i="19"/>
  <c r="G25" i="19"/>
  <c r="H25" i="19"/>
  <c r="I25" i="19"/>
  <c r="J25" i="19"/>
  <c r="K25" i="19"/>
  <c r="L25" i="19"/>
  <c r="M25" i="19"/>
  <c r="N25" i="19"/>
  <c r="O25" i="19"/>
  <c r="P25" i="19"/>
  <c r="Q25" i="19"/>
  <c r="R25" i="19"/>
  <c r="S25" i="19"/>
  <c r="T25" i="19"/>
  <c r="U25" i="19"/>
  <c r="V25" i="19"/>
  <c r="W25" i="19"/>
  <c r="X25" i="19"/>
  <c r="Y25" i="19"/>
  <c r="Z25" i="19"/>
  <c r="AA25" i="19"/>
  <c r="D4" i="20"/>
  <c r="H4" i="20"/>
  <c r="I4" i="20"/>
  <c r="J4" i="20"/>
  <c r="K4" i="20"/>
  <c r="L4" i="20"/>
  <c r="M4" i="20"/>
  <c r="N4" i="20"/>
  <c r="O4" i="20"/>
  <c r="P4" i="20"/>
  <c r="Q4" i="20"/>
  <c r="R4" i="20"/>
  <c r="S4" i="20"/>
  <c r="T4" i="20"/>
  <c r="U4" i="20"/>
  <c r="V4" i="20"/>
  <c r="W4" i="20"/>
  <c r="X4" i="20"/>
  <c r="Y4" i="20"/>
  <c r="Z4" i="20"/>
  <c r="AA4" i="20"/>
  <c r="D5" i="20"/>
  <c r="H5" i="20"/>
  <c r="I5" i="20"/>
  <c r="J5" i="20"/>
  <c r="K5" i="20"/>
  <c r="L5" i="20"/>
  <c r="M5" i="20"/>
  <c r="N5" i="20"/>
  <c r="O5" i="20"/>
  <c r="P5" i="20"/>
  <c r="Q5" i="20"/>
  <c r="R5" i="20"/>
  <c r="S5" i="20"/>
  <c r="T5" i="20"/>
  <c r="U5" i="20"/>
  <c r="V5" i="20"/>
  <c r="W5" i="20"/>
  <c r="X5" i="20"/>
  <c r="Y5" i="20"/>
  <c r="Z5" i="20"/>
  <c r="AA5" i="20"/>
  <c r="D9" i="20"/>
  <c r="E9" i="20"/>
  <c r="F9" i="20"/>
  <c r="G9" i="20"/>
  <c r="H9" i="20"/>
  <c r="I9" i="20"/>
  <c r="J9" i="20"/>
  <c r="K9" i="20"/>
  <c r="L9" i="20"/>
  <c r="M9" i="20"/>
  <c r="N9" i="20"/>
  <c r="O9" i="20"/>
  <c r="P9" i="20"/>
  <c r="Q9" i="20"/>
  <c r="R9" i="20"/>
  <c r="S9" i="20"/>
  <c r="T9" i="20"/>
  <c r="U9" i="20"/>
  <c r="V9" i="20"/>
  <c r="W9" i="20"/>
  <c r="X9" i="20"/>
  <c r="Y9" i="20"/>
  <c r="Z9" i="20"/>
  <c r="AA9" i="20"/>
  <c r="D10" i="20"/>
  <c r="E10" i="20"/>
  <c r="F10" i="20"/>
  <c r="G10" i="20"/>
  <c r="D11" i="20"/>
  <c r="H11" i="20"/>
  <c r="I11" i="20"/>
  <c r="J11" i="20"/>
  <c r="K11" i="20"/>
  <c r="L11" i="20"/>
  <c r="M11" i="20"/>
  <c r="N11" i="20"/>
  <c r="O11" i="20"/>
  <c r="P11" i="20"/>
  <c r="Q11" i="20"/>
  <c r="R11" i="20"/>
  <c r="S11" i="20"/>
  <c r="T11" i="20"/>
  <c r="U11" i="20"/>
  <c r="V11" i="20"/>
  <c r="W11" i="20"/>
  <c r="X11" i="20"/>
  <c r="Y11" i="20"/>
  <c r="Z11" i="20"/>
  <c r="AA11" i="20"/>
  <c r="D12" i="20"/>
  <c r="H12" i="20"/>
  <c r="I12" i="20"/>
  <c r="J12" i="20"/>
  <c r="K12" i="20"/>
  <c r="L12" i="20"/>
  <c r="M12" i="20"/>
  <c r="N12" i="20"/>
  <c r="O12" i="20"/>
  <c r="P12" i="20"/>
  <c r="Q12" i="20"/>
  <c r="R12" i="20"/>
  <c r="S12" i="20"/>
  <c r="T12" i="20"/>
  <c r="U12" i="20"/>
  <c r="V12" i="20"/>
  <c r="W12" i="20"/>
  <c r="X12" i="20"/>
  <c r="Y12" i="20"/>
  <c r="Z12" i="20"/>
  <c r="AA12" i="20"/>
  <c r="D14" i="20"/>
  <c r="H14" i="20"/>
  <c r="I14" i="20"/>
  <c r="J14" i="20"/>
  <c r="K14" i="20"/>
  <c r="L14" i="20"/>
  <c r="M14" i="20"/>
  <c r="N14" i="20"/>
  <c r="O14" i="20"/>
  <c r="P14" i="20"/>
  <c r="Q14" i="20"/>
  <c r="R14" i="20"/>
  <c r="S14" i="20"/>
  <c r="T14" i="20"/>
  <c r="U14" i="20"/>
  <c r="V14" i="20"/>
  <c r="W14" i="20"/>
  <c r="X14" i="20"/>
  <c r="Y14" i="20"/>
  <c r="Z14" i="20"/>
  <c r="AA14" i="20"/>
  <c r="D15" i="20"/>
  <c r="H15" i="20"/>
  <c r="I15" i="20"/>
  <c r="J15" i="20"/>
  <c r="K15" i="20"/>
  <c r="L15" i="20"/>
  <c r="M15" i="20"/>
  <c r="N15" i="20"/>
  <c r="O15" i="20"/>
  <c r="P15" i="20"/>
  <c r="Q15" i="20"/>
  <c r="R15" i="20"/>
  <c r="S15" i="20"/>
  <c r="T15" i="20"/>
  <c r="U15" i="20"/>
  <c r="V15" i="20"/>
  <c r="W15" i="20"/>
  <c r="X15" i="20"/>
  <c r="Y15" i="20"/>
  <c r="Z15" i="20"/>
  <c r="AA15" i="20"/>
  <c r="D16" i="20"/>
  <c r="Q16" i="20"/>
  <c r="R16" i="20"/>
  <c r="S16" i="20"/>
  <c r="T16" i="20"/>
  <c r="U16" i="20"/>
  <c r="V16" i="20"/>
  <c r="W16" i="20"/>
  <c r="X16" i="20"/>
  <c r="Y16" i="20"/>
  <c r="Z16" i="20"/>
  <c r="AA16" i="20"/>
  <c r="D18" i="20"/>
  <c r="E18" i="20"/>
  <c r="F18" i="20"/>
  <c r="G18" i="20"/>
  <c r="H18" i="20"/>
  <c r="I18" i="20"/>
  <c r="J18" i="20"/>
  <c r="K18" i="20"/>
  <c r="L18" i="20"/>
  <c r="M18" i="20"/>
  <c r="N18" i="20"/>
  <c r="O18" i="20"/>
  <c r="P18" i="20"/>
  <c r="Q18" i="20"/>
  <c r="R18" i="20"/>
  <c r="S18" i="20"/>
  <c r="T18" i="20"/>
  <c r="U18" i="20"/>
  <c r="V18" i="20"/>
  <c r="W18" i="20"/>
  <c r="X18" i="20"/>
  <c r="Y18" i="20"/>
  <c r="Z18" i="20"/>
  <c r="AA18" i="20"/>
  <c r="E19" i="20"/>
  <c r="F19" i="20"/>
  <c r="G19" i="20"/>
  <c r="H19" i="20"/>
  <c r="I19" i="20"/>
  <c r="J19" i="20"/>
  <c r="K19" i="20"/>
  <c r="L19" i="20"/>
  <c r="M19" i="20"/>
  <c r="N19" i="20"/>
  <c r="O19" i="20"/>
  <c r="P19" i="20"/>
  <c r="Q19" i="20"/>
  <c r="R19" i="20"/>
  <c r="S19" i="20"/>
  <c r="T19" i="20"/>
  <c r="U19" i="20"/>
  <c r="V19" i="20"/>
  <c r="W19" i="20"/>
  <c r="X19" i="20"/>
  <c r="Y19" i="20"/>
  <c r="Z19" i="20"/>
  <c r="AA19" i="20"/>
  <c r="D20" i="20"/>
  <c r="E20" i="20"/>
  <c r="F20" i="20"/>
  <c r="G20" i="20"/>
  <c r="H20" i="20"/>
  <c r="I20" i="20"/>
  <c r="J20" i="20"/>
  <c r="K20" i="20"/>
  <c r="L20" i="20"/>
  <c r="M20" i="20"/>
  <c r="N20" i="20"/>
  <c r="O20" i="20"/>
  <c r="P20" i="20"/>
  <c r="Q20" i="20"/>
  <c r="R20" i="20"/>
  <c r="S20" i="20"/>
  <c r="T20" i="20"/>
  <c r="U20" i="20"/>
  <c r="V20" i="20"/>
  <c r="W20" i="20"/>
  <c r="X20" i="20"/>
  <c r="Y20" i="20"/>
  <c r="Z20" i="20"/>
  <c r="AA20" i="20"/>
  <c r="E21" i="20"/>
  <c r="F21" i="20"/>
  <c r="G21" i="20"/>
  <c r="H21" i="20"/>
  <c r="I21" i="20"/>
  <c r="J21" i="20"/>
  <c r="K21" i="20"/>
  <c r="L21" i="20"/>
  <c r="M21" i="20"/>
  <c r="N21" i="20"/>
  <c r="O21" i="20"/>
  <c r="P21" i="20"/>
  <c r="Q21" i="20"/>
  <c r="R21" i="20"/>
  <c r="S21" i="20"/>
  <c r="T21" i="20"/>
  <c r="U21" i="20"/>
  <c r="V21" i="20"/>
  <c r="W21" i="20"/>
  <c r="X21" i="20"/>
  <c r="Y21" i="20"/>
  <c r="Z21" i="20"/>
  <c r="AA21" i="20"/>
  <c r="E23" i="20"/>
  <c r="D5" i="21"/>
  <c r="H5" i="21"/>
  <c r="I5" i="21"/>
  <c r="J5" i="21"/>
  <c r="K5" i="21"/>
  <c r="L5" i="21"/>
  <c r="M5" i="21"/>
  <c r="N5" i="21"/>
  <c r="O5" i="21"/>
  <c r="P5" i="21"/>
  <c r="Q5" i="21"/>
  <c r="R5" i="21"/>
  <c r="S5" i="21"/>
  <c r="T5" i="21"/>
  <c r="U5" i="21"/>
  <c r="V5" i="21"/>
  <c r="W5" i="21"/>
  <c r="X5" i="21"/>
  <c r="Y5" i="21"/>
  <c r="Z5" i="21"/>
  <c r="AA5" i="21"/>
  <c r="D6" i="21"/>
  <c r="H6" i="21"/>
  <c r="I6" i="21"/>
  <c r="J6" i="21"/>
  <c r="K6" i="21"/>
  <c r="L6" i="21"/>
  <c r="M6" i="21"/>
  <c r="N6" i="21"/>
  <c r="O6" i="21"/>
  <c r="P6" i="21"/>
  <c r="Q6" i="21"/>
  <c r="R6" i="21"/>
  <c r="S6" i="21"/>
  <c r="T6" i="21"/>
  <c r="U6" i="21"/>
  <c r="V6" i="21"/>
  <c r="W6" i="21"/>
  <c r="X6" i="21"/>
  <c r="Y6" i="21"/>
  <c r="Z6" i="21"/>
  <c r="AA6" i="21"/>
  <c r="D7" i="21"/>
  <c r="H7" i="21"/>
  <c r="I7" i="21"/>
  <c r="J7" i="21"/>
  <c r="K7" i="21"/>
  <c r="L7" i="21"/>
  <c r="M7" i="21"/>
  <c r="N7" i="21"/>
  <c r="O7" i="21"/>
  <c r="P7" i="21"/>
  <c r="Q7" i="21"/>
  <c r="R7" i="21"/>
  <c r="S7" i="21"/>
  <c r="T7" i="21"/>
  <c r="U7" i="21"/>
  <c r="V7" i="21"/>
  <c r="W7" i="21"/>
  <c r="X7" i="21"/>
  <c r="Y7" i="21"/>
  <c r="Z7" i="21"/>
  <c r="AA7" i="21"/>
  <c r="D8" i="21"/>
  <c r="H8" i="21"/>
  <c r="I8" i="21"/>
  <c r="J8" i="21"/>
  <c r="K8" i="21"/>
  <c r="L8" i="21"/>
  <c r="M8" i="21"/>
  <c r="N8" i="21"/>
  <c r="O8" i="21"/>
  <c r="P8" i="21"/>
  <c r="Q8" i="21"/>
  <c r="R8" i="21"/>
  <c r="S8" i="21"/>
  <c r="T8" i="21"/>
  <c r="U8" i="21"/>
  <c r="V8" i="21"/>
  <c r="W8" i="21"/>
  <c r="X8" i="21"/>
  <c r="Y8" i="21"/>
  <c r="Z8" i="21"/>
  <c r="AA8" i="21"/>
  <c r="D10" i="21"/>
  <c r="H10" i="21"/>
  <c r="I10" i="21"/>
  <c r="J10" i="21"/>
  <c r="K10" i="21"/>
  <c r="L10" i="21"/>
  <c r="M10" i="21"/>
  <c r="N10" i="21"/>
  <c r="O10" i="21"/>
  <c r="P10" i="21"/>
  <c r="Q10" i="21"/>
  <c r="R10" i="21"/>
  <c r="S10" i="21"/>
  <c r="T10" i="21"/>
  <c r="U10" i="21"/>
  <c r="V10" i="21"/>
  <c r="W10" i="21"/>
  <c r="X10" i="21"/>
  <c r="Y10" i="21"/>
  <c r="Z10" i="21"/>
  <c r="AA10" i="21"/>
  <c r="D12" i="21"/>
  <c r="H12" i="21"/>
  <c r="I12" i="21"/>
  <c r="J12" i="21"/>
  <c r="K12" i="21"/>
  <c r="L12" i="21"/>
  <c r="M12" i="21"/>
  <c r="N12" i="21"/>
  <c r="O12" i="21"/>
  <c r="P12" i="21"/>
  <c r="Q12" i="21"/>
  <c r="R12" i="21"/>
  <c r="S12" i="21"/>
  <c r="T12" i="21"/>
  <c r="U12" i="21"/>
  <c r="V12" i="21"/>
  <c r="W12" i="21"/>
  <c r="X12" i="21"/>
  <c r="Y12" i="21"/>
  <c r="Z12" i="21"/>
  <c r="AA12" i="21"/>
  <c r="D14" i="21"/>
  <c r="E14" i="21"/>
  <c r="F14" i="21"/>
  <c r="G14" i="21"/>
  <c r="D18" i="21"/>
  <c r="E18" i="21"/>
  <c r="F18" i="21"/>
  <c r="G18" i="21"/>
  <c r="D19" i="21"/>
  <c r="E19" i="21"/>
  <c r="F19" i="21"/>
  <c r="G19" i="21"/>
  <c r="D23" i="21"/>
  <c r="E23" i="21"/>
  <c r="F23" i="21"/>
  <c r="G23" i="21"/>
  <c r="H23" i="21"/>
  <c r="I23" i="21"/>
  <c r="J23" i="21"/>
  <c r="K23" i="21"/>
  <c r="L23" i="21"/>
  <c r="M23" i="21"/>
  <c r="N23" i="21"/>
  <c r="O23" i="21"/>
  <c r="P23" i="21"/>
  <c r="Q23" i="21"/>
  <c r="R23" i="21"/>
  <c r="S23" i="21"/>
  <c r="T23" i="21"/>
  <c r="U23" i="21"/>
  <c r="V23" i="21"/>
  <c r="W23" i="21"/>
  <c r="X23" i="21"/>
  <c r="Y23" i="21"/>
  <c r="Z23" i="21"/>
  <c r="AA23" i="21"/>
  <c r="D24" i="21"/>
  <c r="E24" i="21"/>
  <c r="F24" i="21"/>
  <c r="G24" i="21"/>
  <c r="D25" i="21"/>
  <c r="E25" i="21"/>
  <c r="F25" i="21"/>
  <c r="G25" i="21"/>
  <c r="D27" i="21"/>
  <c r="E27" i="21"/>
  <c r="F27" i="21"/>
  <c r="G27" i="21"/>
  <c r="D29" i="21"/>
  <c r="H29" i="21"/>
  <c r="I29" i="21"/>
  <c r="J29" i="21"/>
  <c r="K29" i="21"/>
  <c r="L29" i="21"/>
  <c r="M29" i="21"/>
  <c r="N29" i="21"/>
  <c r="O29" i="21"/>
  <c r="P29" i="21"/>
  <c r="Q29" i="21"/>
  <c r="R29" i="21"/>
  <c r="S29" i="21"/>
  <c r="T29" i="21"/>
  <c r="U29" i="21"/>
  <c r="V29" i="21"/>
  <c r="W29" i="21"/>
  <c r="X29" i="21"/>
  <c r="Y29" i="21"/>
  <c r="Z29" i="21"/>
  <c r="AA29" i="21"/>
  <c r="D30" i="21"/>
  <c r="H30" i="21"/>
  <c r="I30" i="21"/>
  <c r="J30" i="21"/>
  <c r="K30" i="21"/>
  <c r="L30" i="21"/>
  <c r="M30" i="21"/>
  <c r="N30" i="21"/>
  <c r="O30" i="21"/>
  <c r="P30" i="21"/>
  <c r="Q30" i="21"/>
  <c r="R30" i="21"/>
  <c r="S30" i="21"/>
  <c r="T30" i="21"/>
  <c r="U30" i="21"/>
  <c r="V30" i="21"/>
  <c r="W30" i="21"/>
  <c r="X30" i="21"/>
  <c r="Y30" i="21"/>
  <c r="Z30" i="21"/>
  <c r="AA30" i="21"/>
  <c r="D31" i="21"/>
  <c r="H31" i="21"/>
  <c r="I31" i="21"/>
  <c r="J31" i="21"/>
  <c r="K31" i="21"/>
  <c r="L31" i="21"/>
  <c r="M31" i="21"/>
  <c r="N31" i="21"/>
  <c r="O31" i="21"/>
  <c r="P31" i="21"/>
  <c r="Q31" i="21"/>
  <c r="R31" i="21"/>
  <c r="S31" i="21"/>
  <c r="T31" i="21"/>
  <c r="U31" i="21"/>
  <c r="V31" i="21"/>
  <c r="W31" i="21"/>
  <c r="X31" i="21"/>
  <c r="Y31" i="21"/>
  <c r="Z31" i="21"/>
  <c r="AA31" i="21"/>
  <c r="D34" i="21"/>
  <c r="E34" i="21"/>
  <c r="F34" i="21"/>
  <c r="G34" i="21"/>
  <c r="H34" i="21"/>
  <c r="I34" i="21"/>
  <c r="J34" i="21"/>
  <c r="K34" i="21"/>
  <c r="L34" i="21"/>
  <c r="M34" i="21"/>
  <c r="N34" i="21"/>
  <c r="O34" i="21"/>
  <c r="P34" i="21"/>
  <c r="Q34" i="21"/>
  <c r="R34" i="21"/>
  <c r="S34" i="21"/>
  <c r="T34" i="21"/>
  <c r="U34" i="21"/>
  <c r="V34" i="21"/>
  <c r="W34" i="21"/>
  <c r="X34" i="21"/>
  <c r="Y34" i="21"/>
  <c r="Z34" i="21"/>
  <c r="AA34" i="21"/>
  <c r="D35" i="21"/>
  <c r="E35" i="21"/>
  <c r="F35" i="21"/>
  <c r="G35" i="21"/>
  <c r="H35" i="21"/>
  <c r="I35" i="21"/>
  <c r="J35" i="21"/>
  <c r="K35" i="21"/>
  <c r="L35" i="21"/>
  <c r="M35" i="21"/>
  <c r="N35" i="21"/>
  <c r="O35" i="21"/>
  <c r="P35" i="21"/>
  <c r="Q35" i="21"/>
  <c r="R35" i="21"/>
  <c r="S35" i="21"/>
  <c r="T35" i="21"/>
  <c r="U35" i="21"/>
  <c r="V35" i="21"/>
  <c r="W35" i="21"/>
  <c r="X35" i="21"/>
  <c r="Y35" i="21"/>
  <c r="Z35" i="21"/>
  <c r="AA35" i="21"/>
  <c r="D5" i="22"/>
  <c r="E5" i="22"/>
  <c r="F5" i="22"/>
  <c r="G5" i="22"/>
  <c r="H5" i="22"/>
  <c r="I5" i="22"/>
  <c r="J5" i="22"/>
  <c r="K5" i="22"/>
  <c r="L5" i="22"/>
  <c r="M5" i="22"/>
  <c r="N5" i="22"/>
  <c r="O5" i="22"/>
  <c r="P5" i="22"/>
  <c r="Q5" i="22"/>
  <c r="R5" i="22"/>
  <c r="S5" i="22"/>
  <c r="T5" i="22"/>
  <c r="U5" i="22"/>
  <c r="V5" i="22"/>
  <c r="W5" i="22"/>
  <c r="X5" i="22"/>
  <c r="Y5" i="22"/>
  <c r="Z5" i="22"/>
  <c r="G6" i="22"/>
  <c r="H6" i="22"/>
  <c r="I6" i="22"/>
  <c r="J6" i="22"/>
  <c r="K6" i="22"/>
  <c r="L6" i="22"/>
  <c r="M6" i="22"/>
  <c r="N6" i="22"/>
  <c r="O6" i="22"/>
  <c r="P6" i="22"/>
  <c r="Q6" i="22"/>
  <c r="R6" i="22"/>
  <c r="S6" i="22"/>
  <c r="T6" i="22"/>
  <c r="U6" i="22"/>
  <c r="V6" i="22"/>
  <c r="W6" i="22"/>
  <c r="X6" i="22"/>
  <c r="Y6" i="22"/>
  <c r="Z6" i="22"/>
  <c r="G7" i="22"/>
  <c r="H7" i="22"/>
  <c r="I7" i="22"/>
  <c r="J7" i="22"/>
  <c r="K7" i="22"/>
  <c r="L7" i="22"/>
  <c r="M7" i="22"/>
  <c r="N7" i="22"/>
  <c r="O7" i="22"/>
  <c r="P7" i="22"/>
  <c r="Q7" i="22"/>
  <c r="R7" i="22"/>
  <c r="S7" i="22"/>
  <c r="T7" i="22"/>
  <c r="U7" i="22"/>
  <c r="V7" i="22"/>
  <c r="W7" i="22"/>
  <c r="X7" i="22"/>
  <c r="Y7" i="22"/>
  <c r="Z7" i="22"/>
  <c r="D9" i="22"/>
  <c r="E9" i="22"/>
  <c r="F9" i="22"/>
  <c r="G10" i="22"/>
  <c r="H10" i="22"/>
  <c r="I10" i="22"/>
  <c r="J10" i="22"/>
  <c r="K10" i="22"/>
  <c r="L10" i="22"/>
  <c r="M10" i="22"/>
  <c r="N10" i="22"/>
  <c r="O10" i="22"/>
  <c r="P10" i="22"/>
  <c r="Q10" i="22"/>
  <c r="R10" i="22"/>
  <c r="S10" i="22"/>
  <c r="T10" i="22"/>
  <c r="U10" i="22"/>
  <c r="V10" i="22"/>
  <c r="W10" i="22"/>
  <c r="X10" i="22"/>
  <c r="Y10" i="22"/>
  <c r="Z10" i="22"/>
  <c r="D11" i="22"/>
  <c r="E11" i="22"/>
  <c r="F11" i="22"/>
  <c r="G11" i="22"/>
  <c r="H11" i="22"/>
  <c r="I11" i="22"/>
  <c r="J11" i="22"/>
  <c r="K11" i="22"/>
  <c r="L11" i="22"/>
  <c r="M11" i="22"/>
  <c r="N11" i="22"/>
  <c r="O11" i="22"/>
  <c r="P11" i="22"/>
  <c r="Q11" i="22"/>
  <c r="R11" i="22"/>
  <c r="S11" i="22"/>
  <c r="T11" i="22"/>
  <c r="U11" i="22"/>
  <c r="V11" i="22"/>
  <c r="W11" i="22"/>
  <c r="X11" i="22"/>
  <c r="Y11" i="22"/>
  <c r="Z11" i="22"/>
  <c r="G12" i="22"/>
  <c r="H12" i="22"/>
  <c r="I12" i="22"/>
  <c r="J12" i="22"/>
  <c r="K12" i="22"/>
  <c r="L12" i="22"/>
  <c r="M12" i="22"/>
  <c r="N12" i="22"/>
  <c r="O12" i="22"/>
  <c r="P12" i="22"/>
  <c r="Q12" i="22"/>
  <c r="R12" i="22"/>
  <c r="G14" i="22"/>
  <c r="H14" i="22"/>
  <c r="I14" i="22"/>
  <c r="J14" i="22"/>
  <c r="K14" i="22"/>
  <c r="L14" i="22"/>
  <c r="M14" i="22"/>
  <c r="N14" i="22"/>
  <c r="O14" i="22"/>
  <c r="P14" i="22"/>
  <c r="Q14" i="22"/>
  <c r="R14" i="22"/>
  <c r="D15" i="22"/>
  <c r="E15" i="22"/>
  <c r="F15" i="22"/>
  <c r="G15" i="22"/>
  <c r="H15" i="22"/>
  <c r="I15" i="22"/>
  <c r="J15" i="22"/>
  <c r="K15" i="22"/>
  <c r="L15" i="22"/>
  <c r="M15" i="22"/>
  <c r="N15" i="22"/>
  <c r="O15" i="22"/>
  <c r="P15" i="22"/>
  <c r="Q15" i="22"/>
  <c r="R15" i="22"/>
  <c r="S15" i="22"/>
  <c r="T15" i="22"/>
  <c r="U15" i="22"/>
  <c r="V15" i="22"/>
  <c r="W15" i="22"/>
  <c r="X15" i="22"/>
  <c r="Y15" i="22"/>
  <c r="Z15" i="22"/>
  <c r="D16" i="22"/>
  <c r="E16" i="22"/>
  <c r="F16" i="22"/>
  <c r="G16" i="22"/>
  <c r="H16" i="22"/>
  <c r="I16" i="22"/>
  <c r="J16" i="22"/>
  <c r="K16" i="22"/>
  <c r="L16" i="22"/>
  <c r="M16" i="22"/>
  <c r="N16" i="22"/>
  <c r="O16" i="22"/>
  <c r="P16" i="22"/>
  <c r="Q16" i="22"/>
  <c r="R16" i="22"/>
  <c r="S16" i="22"/>
  <c r="T16" i="22"/>
  <c r="U16" i="22"/>
  <c r="V16" i="22"/>
  <c r="W16" i="22"/>
  <c r="X16" i="22"/>
  <c r="Y16" i="22"/>
  <c r="Z16" i="22"/>
  <c r="D18" i="22"/>
  <c r="E18" i="22"/>
  <c r="F18" i="22"/>
  <c r="G18" i="22"/>
  <c r="H18" i="22"/>
  <c r="I18" i="22"/>
  <c r="J18" i="22"/>
  <c r="K18" i="22"/>
  <c r="L18" i="22"/>
  <c r="M18" i="22"/>
  <c r="N18" i="22"/>
  <c r="O18" i="22"/>
  <c r="P18" i="22"/>
  <c r="Q18" i="22"/>
  <c r="R18" i="22"/>
  <c r="S18" i="22"/>
  <c r="T18" i="22"/>
  <c r="U18" i="22"/>
  <c r="V18" i="22"/>
  <c r="W18" i="22"/>
  <c r="X18" i="22"/>
  <c r="Y18" i="22"/>
  <c r="Z18" i="22"/>
  <c r="D19" i="22"/>
  <c r="E19" i="22"/>
  <c r="F19" i="22"/>
  <c r="G19" i="22"/>
  <c r="H19" i="22"/>
  <c r="I19" i="22"/>
  <c r="J19" i="22"/>
  <c r="K19" i="22"/>
  <c r="L19" i="22"/>
  <c r="M19" i="22"/>
  <c r="N19" i="22"/>
  <c r="O19" i="22"/>
  <c r="P19" i="22"/>
  <c r="Q19" i="22"/>
  <c r="R19" i="22"/>
  <c r="S19" i="22"/>
  <c r="T19" i="22"/>
  <c r="U19" i="22"/>
  <c r="V19" i="22"/>
  <c r="W19" i="22"/>
  <c r="X19" i="22"/>
  <c r="Y19" i="22"/>
  <c r="Z19" i="22"/>
  <c r="D20" i="22"/>
  <c r="E20" i="22"/>
  <c r="F20" i="22"/>
  <c r="G20" i="22"/>
  <c r="H20" i="22"/>
  <c r="I20" i="22"/>
  <c r="J20" i="22"/>
  <c r="K20" i="22"/>
  <c r="L20" i="22"/>
  <c r="M20" i="22"/>
  <c r="N20" i="22"/>
  <c r="O20" i="22"/>
  <c r="P20" i="22"/>
  <c r="Q20" i="22"/>
  <c r="R20" i="22"/>
  <c r="S20" i="22"/>
  <c r="T20" i="22"/>
  <c r="U20" i="22"/>
  <c r="V20" i="22"/>
  <c r="W20" i="22"/>
  <c r="X20" i="22"/>
  <c r="Y20" i="22"/>
  <c r="Z20" i="22"/>
  <c r="G22" i="22"/>
  <c r="H22" i="22"/>
  <c r="I22" i="22"/>
  <c r="J22" i="22"/>
  <c r="K22" i="22"/>
  <c r="L22" i="22"/>
  <c r="M22" i="22"/>
  <c r="N22" i="22"/>
  <c r="O22" i="22"/>
  <c r="P22" i="22"/>
  <c r="Q22" i="22"/>
  <c r="R22" i="22"/>
  <c r="S22" i="22"/>
  <c r="T22" i="22"/>
  <c r="U22" i="22"/>
  <c r="V22" i="22"/>
  <c r="W22" i="22"/>
  <c r="X22" i="22"/>
  <c r="Y22" i="22"/>
  <c r="Z22" i="22"/>
  <c r="D23" i="22"/>
  <c r="E23" i="22"/>
  <c r="F23" i="22"/>
  <c r="G23" i="22"/>
  <c r="H23" i="22"/>
  <c r="I23" i="22"/>
  <c r="J23" i="22"/>
  <c r="K23" i="22"/>
  <c r="L23" i="22"/>
  <c r="M23" i="22"/>
  <c r="N23" i="22"/>
  <c r="O23" i="22"/>
  <c r="P23" i="22"/>
  <c r="Q23" i="22"/>
  <c r="R23" i="22"/>
  <c r="S23" i="22"/>
  <c r="T23" i="22"/>
  <c r="U23" i="22"/>
  <c r="V23" i="22"/>
  <c r="W23" i="22"/>
  <c r="X23" i="22"/>
  <c r="Y23" i="22"/>
  <c r="Z23" i="22"/>
  <c r="D24" i="22"/>
  <c r="E24" i="22"/>
  <c r="F24" i="22"/>
  <c r="G24" i="22"/>
  <c r="H24" i="22"/>
  <c r="I24" i="22"/>
  <c r="J24" i="22"/>
  <c r="K24" i="22"/>
  <c r="L24" i="22"/>
  <c r="M24" i="22"/>
  <c r="N24" i="22"/>
  <c r="O24" i="22"/>
  <c r="P24" i="22"/>
  <c r="Q24" i="22"/>
  <c r="R24" i="22"/>
  <c r="S24" i="22"/>
  <c r="T24" i="22"/>
  <c r="U24" i="22"/>
  <c r="V24" i="22"/>
  <c r="W24" i="22"/>
  <c r="X24" i="22"/>
  <c r="Y24" i="22"/>
  <c r="Z24" i="22"/>
  <c r="D25" i="22"/>
  <c r="E25" i="22"/>
  <c r="F25" i="22"/>
  <c r="G25" i="22"/>
  <c r="H25" i="22"/>
  <c r="I25" i="22"/>
  <c r="J25" i="22"/>
  <c r="K25" i="22"/>
  <c r="L25" i="22"/>
  <c r="M25" i="22"/>
  <c r="N25" i="22"/>
  <c r="O25" i="22"/>
  <c r="P25" i="22"/>
  <c r="Q25" i="22"/>
  <c r="R25" i="22"/>
  <c r="S25" i="22"/>
  <c r="T25" i="22"/>
  <c r="U25" i="22"/>
  <c r="V25" i="22"/>
  <c r="W25" i="22"/>
  <c r="X25" i="22"/>
  <c r="Y25" i="22"/>
  <c r="D27" i="22"/>
  <c r="E27" i="22"/>
  <c r="F27" i="22"/>
  <c r="G27" i="22"/>
  <c r="H27" i="22"/>
  <c r="I27" i="22"/>
  <c r="J27" i="22"/>
  <c r="K27" i="22"/>
  <c r="L27" i="22"/>
  <c r="M27" i="22"/>
  <c r="N27" i="22"/>
  <c r="O27" i="22"/>
  <c r="P27" i="22"/>
  <c r="Q27" i="22"/>
  <c r="R27" i="22"/>
  <c r="S27" i="22"/>
  <c r="T27" i="22"/>
  <c r="U27" i="22"/>
  <c r="V27" i="22"/>
  <c r="W27" i="22"/>
  <c r="X27" i="22"/>
  <c r="Y27" i="22"/>
  <c r="Z27" i="22"/>
  <c r="R4" i="23"/>
  <c r="S4" i="23"/>
  <c r="T4" i="23"/>
  <c r="U4" i="23"/>
  <c r="V4" i="23"/>
  <c r="W4" i="23"/>
  <c r="X4" i="23"/>
  <c r="Y4" i="23"/>
  <c r="Z4" i="23"/>
  <c r="R5" i="23"/>
  <c r="S5" i="23"/>
  <c r="T5" i="23"/>
  <c r="U5" i="23"/>
  <c r="V5" i="23"/>
  <c r="W5" i="23"/>
  <c r="X5" i="23"/>
  <c r="Y5" i="23"/>
  <c r="Z5" i="23"/>
  <c r="Z6" i="23"/>
  <c r="D7" i="23"/>
  <c r="E7" i="23"/>
  <c r="F7" i="23"/>
  <c r="D8" i="23"/>
  <c r="E8" i="23"/>
  <c r="F8" i="23"/>
  <c r="D9" i="23"/>
  <c r="E9" i="23"/>
  <c r="F9" i="23"/>
  <c r="R9" i="23"/>
  <c r="S9" i="23"/>
  <c r="T9" i="23"/>
  <c r="U9" i="23"/>
  <c r="V9" i="23"/>
  <c r="W9" i="23"/>
  <c r="X9" i="23"/>
  <c r="Y9" i="23"/>
  <c r="Z9" i="23"/>
  <c r="D11" i="23"/>
  <c r="D14" i="24"/>
  <c r="H14" i="24"/>
  <c r="I14" i="24"/>
  <c r="J14" i="24"/>
  <c r="K14" i="24"/>
  <c r="L14" i="24"/>
  <c r="M14" i="24"/>
  <c r="N14" i="24"/>
  <c r="O14" i="24"/>
  <c r="P14" i="24"/>
  <c r="Q14" i="24"/>
  <c r="R14" i="24"/>
  <c r="S14" i="24"/>
  <c r="T14" i="24"/>
  <c r="U14" i="24"/>
  <c r="V14" i="24"/>
  <c r="W14" i="24"/>
  <c r="X14" i="24"/>
  <c r="Y14" i="24"/>
  <c r="Z14" i="24"/>
  <c r="AA14" i="24"/>
  <c r="D15" i="24"/>
  <c r="H15" i="24"/>
  <c r="I15" i="24"/>
  <c r="J15" i="24"/>
  <c r="K15" i="24"/>
  <c r="L15" i="24"/>
  <c r="M15" i="24"/>
  <c r="N15" i="24"/>
  <c r="O15" i="24"/>
  <c r="P15" i="24"/>
  <c r="Q15" i="24"/>
  <c r="R15" i="24"/>
  <c r="S15" i="24"/>
  <c r="T15" i="24"/>
  <c r="U15" i="24"/>
  <c r="V15" i="24"/>
  <c r="W15" i="24"/>
  <c r="X15" i="24"/>
  <c r="Y15" i="24"/>
  <c r="Z15" i="24"/>
  <c r="AA15" i="24"/>
  <c r="D16" i="24"/>
  <c r="H16" i="24"/>
  <c r="I16" i="24"/>
  <c r="J16" i="24"/>
  <c r="K16" i="24"/>
  <c r="L16" i="24"/>
  <c r="M16" i="24"/>
  <c r="N16" i="24"/>
  <c r="O16" i="24"/>
  <c r="P16" i="24"/>
  <c r="Q16" i="24"/>
  <c r="R16" i="24"/>
  <c r="S16" i="24"/>
  <c r="T16" i="24"/>
  <c r="U16" i="24"/>
  <c r="V16" i="24"/>
  <c r="W16" i="24"/>
  <c r="X16" i="24"/>
  <c r="Y16" i="24"/>
  <c r="Z16" i="24"/>
  <c r="AA16" i="24"/>
  <c r="D17" i="24"/>
  <c r="Q17" i="24"/>
  <c r="R17" i="24"/>
  <c r="S17" i="24"/>
  <c r="T17" i="24"/>
  <c r="U17" i="24"/>
  <c r="V17" i="24"/>
  <c r="W17" i="24"/>
  <c r="X17" i="24"/>
  <c r="Y17" i="24"/>
  <c r="Z17" i="24"/>
  <c r="AA17" i="24"/>
  <c r="D21" i="24"/>
  <c r="H21" i="24"/>
  <c r="I21" i="24"/>
  <c r="J21" i="24"/>
  <c r="K21" i="24"/>
  <c r="L21" i="24"/>
  <c r="M21" i="24"/>
  <c r="N21" i="24"/>
  <c r="O21" i="24"/>
  <c r="P21" i="24"/>
  <c r="Q21" i="24"/>
  <c r="R21" i="24"/>
  <c r="S21" i="24"/>
  <c r="T21" i="24"/>
  <c r="U21" i="24"/>
  <c r="V21" i="24"/>
  <c r="W21" i="24"/>
  <c r="X21" i="24"/>
  <c r="Y21" i="24"/>
  <c r="Z21" i="24"/>
  <c r="AA21" i="24"/>
  <c r="D23" i="24"/>
  <c r="D4" i="25"/>
  <c r="E4" i="25"/>
  <c r="F4" i="25"/>
  <c r="G4" i="25"/>
  <c r="D5" i="25"/>
  <c r="H5" i="25"/>
  <c r="I5" i="25"/>
  <c r="J5" i="25"/>
  <c r="K5" i="25"/>
  <c r="L5" i="25"/>
  <c r="M5" i="25"/>
  <c r="N5" i="25"/>
  <c r="O5" i="25"/>
  <c r="P5" i="25"/>
  <c r="Q5" i="25"/>
  <c r="R5" i="25"/>
  <c r="S5" i="25"/>
  <c r="T5" i="25"/>
  <c r="U5" i="25"/>
  <c r="V5" i="25"/>
  <c r="W5" i="25"/>
  <c r="X5" i="25"/>
  <c r="Y5" i="25"/>
  <c r="Z5" i="25"/>
  <c r="AA5" i="25"/>
  <c r="D8" i="25"/>
  <c r="E8" i="25"/>
  <c r="F8" i="25"/>
  <c r="G8" i="25"/>
  <c r="H8" i="25"/>
  <c r="I8" i="25"/>
  <c r="J8" i="25"/>
  <c r="K8" i="25"/>
  <c r="L8" i="25"/>
  <c r="M8" i="25"/>
  <c r="N8" i="25"/>
  <c r="O8" i="25"/>
  <c r="P8" i="25"/>
  <c r="Q8" i="25"/>
  <c r="R8" i="25"/>
  <c r="S8" i="25"/>
  <c r="T8" i="25"/>
  <c r="U8" i="25"/>
  <c r="V8" i="25"/>
  <c r="W8" i="25"/>
  <c r="X8" i="25"/>
  <c r="Y8" i="25"/>
  <c r="Z8" i="25"/>
  <c r="AA8" i="25"/>
  <c r="D10" i="25"/>
  <c r="E4" i="28"/>
  <c r="I4" i="28"/>
  <c r="E5" i="28"/>
  <c r="I5" i="28"/>
  <c r="E6" i="28"/>
  <c r="I6" i="28"/>
  <c r="F7" i="28"/>
  <c r="I7" i="28"/>
  <c r="F8" i="28"/>
  <c r="I8" i="28"/>
  <c r="F9" i="28"/>
  <c r="I9" i="28"/>
  <c r="F10" i="28"/>
  <c r="I10" i="28"/>
  <c r="F11" i="28"/>
  <c r="I11" i="28"/>
  <c r="F12" i="28"/>
  <c r="I12" i="28"/>
  <c r="F13" i="28"/>
  <c r="I13" i="28"/>
  <c r="F14" i="28"/>
  <c r="I14" i="28"/>
  <c r="F15" i="28"/>
  <c r="I15" i="28"/>
  <c r="F16" i="28"/>
  <c r="I16" i="28"/>
  <c r="F17" i="28"/>
  <c r="I17" i="28"/>
  <c r="F18" i="28"/>
  <c r="I18" i="28"/>
  <c r="F19" i="28"/>
  <c r="I19" i="28"/>
  <c r="F20" i="28"/>
  <c r="I20" i="28"/>
  <c r="F21" i="28"/>
  <c r="I21" i="28"/>
  <c r="F22" i="28"/>
  <c r="I22" i="28"/>
  <c r="F23" i="28"/>
  <c r="I23" i="28"/>
  <c r="F24" i="28"/>
  <c r="I24" i="28"/>
  <c r="F25" i="28"/>
  <c r="I25" i="28"/>
  <c r="F26" i="28"/>
  <c r="I26" i="28"/>
  <c r="E27" i="28"/>
  <c r="F27" i="28"/>
  <c r="I27" i="28"/>
  <c r="E32" i="28"/>
  <c r="F32" i="28"/>
  <c r="M32" i="28"/>
  <c r="O32" i="28"/>
  <c r="P32" i="28"/>
  <c r="E33" i="28"/>
  <c r="F33" i="28"/>
  <c r="M33" i="28"/>
  <c r="O33" i="28"/>
  <c r="P33" i="28"/>
  <c r="E34" i="28"/>
  <c r="F34" i="28"/>
  <c r="M34" i="28"/>
  <c r="O34" i="28"/>
  <c r="P34" i="28"/>
  <c r="E35" i="28"/>
  <c r="F35" i="28"/>
  <c r="M35" i="28"/>
  <c r="O35" i="28"/>
  <c r="P35" i="28"/>
  <c r="E36" i="28"/>
  <c r="F36" i="28"/>
  <c r="M36" i="28"/>
  <c r="O36" i="28"/>
  <c r="P36" i="28"/>
  <c r="E37" i="28"/>
  <c r="F37" i="28"/>
  <c r="M37" i="28"/>
  <c r="O37" i="28"/>
  <c r="P37" i="28"/>
  <c r="E38" i="28"/>
  <c r="F38" i="28"/>
  <c r="M38" i="28"/>
  <c r="O38" i="28"/>
  <c r="P38" i="28"/>
  <c r="E39" i="28"/>
  <c r="F39" i="28"/>
  <c r="M39" i="28"/>
  <c r="O39" i="28"/>
  <c r="P39" i="28"/>
  <c r="E40" i="28"/>
  <c r="F40" i="28"/>
  <c r="M40" i="28"/>
  <c r="O40" i="28"/>
  <c r="P40" i="28"/>
  <c r="E41" i="28"/>
  <c r="F41" i="28"/>
  <c r="M41" i="28"/>
  <c r="O41" i="28"/>
  <c r="P41" i="28"/>
  <c r="E42" i="28"/>
  <c r="F42" i="28"/>
  <c r="M42" i="28"/>
  <c r="O42" i="28"/>
  <c r="P42" i="28"/>
  <c r="E43" i="28"/>
  <c r="F43" i="28"/>
  <c r="M43" i="28"/>
  <c r="O43" i="28"/>
  <c r="P43" i="28"/>
  <c r="E44" i="28"/>
  <c r="F44" i="28"/>
  <c r="M44" i="28"/>
  <c r="O44" i="28"/>
  <c r="P44" i="28"/>
  <c r="E45" i="28"/>
  <c r="F45" i="28"/>
  <c r="M45" i="28"/>
  <c r="O45" i="28"/>
  <c r="P45" i="28"/>
  <c r="E46" i="28"/>
  <c r="F46" i="28"/>
  <c r="M46" i="28"/>
  <c r="O46" i="28"/>
  <c r="P46" i="28"/>
  <c r="E47" i="28"/>
  <c r="F47" i="28"/>
  <c r="M47" i="28"/>
  <c r="O47" i="28"/>
  <c r="P47" i="28"/>
  <c r="E48" i="28"/>
  <c r="F48" i="28"/>
  <c r="M48" i="28"/>
  <c r="O48" i="28"/>
  <c r="P48" i="28"/>
  <c r="E49" i="28"/>
  <c r="F49" i="28"/>
  <c r="M49" i="28"/>
  <c r="O49" i="28"/>
  <c r="P49" i="28"/>
  <c r="E50" i="28"/>
  <c r="F50" i="28"/>
  <c r="M50" i="28"/>
  <c r="O50" i="28"/>
  <c r="P50" i="28"/>
  <c r="E51" i="28"/>
  <c r="F51" i="28"/>
  <c r="M51" i="28"/>
  <c r="O51" i="28"/>
  <c r="P51" i="28"/>
  <c r="E52" i="28"/>
  <c r="F52" i="28"/>
  <c r="M52" i="28"/>
  <c r="O52" i="28"/>
  <c r="P52" i="28"/>
  <c r="E53" i="28"/>
  <c r="F53" i="28"/>
  <c r="M53" i="28"/>
  <c r="O53" i="28"/>
  <c r="P53" i="28"/>
  <c r="E54" i="28"/>
  <c r="F54" i="28"/>
  <c r="M54" i="28"/>
  <c r="O54" i="28"/>
  <c r="P54" i="28"/>
  <c r="E55" i="28"/>
  <c r="F55" i="28"/>
  <c r="O55" i="28"/>
  <c r="P55" i="28"/>
  <c r="D12" i="2"/>
  <c r="D13" i="2"/>
  <c r="H8" i="39"/>
  <c r="Q8" i="39"/>
  <c r="H9" i="39"/>
  <c r="Q9" i="39"/>
  <c r="H12" i="39"/>
  <c r="I12" i="39"/>
  <c r="Q12" i="39"/>
  <c r="R12" i="39"/>
  <c r="E13" i="39"/>
  <c r="F13" i="39"/>
  <c r="G13" i="39"/>
  <c r="H13" i="39"/>
  <c r="N13" i="39"/>
  <c r="O13" i="39"/>
  <c r="P13" i="39"/>
  <c r="Q13" i="39"/>
  <c r="E14" i="39"/>
  <c r="F14" i="39"/>
  <c r="G14" i="39"/>
  <c r="H14" i="39"/>
  <c r="N14" i="39"/>
  <c r="O14" i="39"/>
  <c r="P14" i="39"/>
  <c r="Q14" i="39"/>
  <c r="H19" i="39"/>
  <c r="Q19" i="39"/>
  <c r="H20" i="39"/>
  <c r="Q20" i="39"/>
  <c r="H23" i="39"/>
  <c r="I23" i="39"/>
  <c r="Q23" i="39"/>
  <c r="R23" i="39"/>
  <c r="E24" i="39"/>
  <c r="F24" i="39"/>
  <c r="G24" i="39"/>
  <c r="H24" i="39"/>
  <c r="N24" i="39"/>
  <c r="O24" i="39"/>
  <c r="P24" i="39"/>
  <c r="Q24" i="39"/>
  <c r="E25" i="39"/>
  <c r="F25" i="39"/>
  <c r="G25" i="39"/>
  <c r="H25" i="39"/>
  <c r="N25" i="39"/>
  <c r="O25" i="39"/>
  <c r="P25" i="39"/>
  <c r="Q25" i="39"/>
  <c r="H30" i="39"/>
  <c r="Q30" i="39"/>
  <c r="H31" i="39"/>
  <c r="Q31" i="39"/>
  <c r="H34" i="39"/>
  <c r="I34" i="39"/>
  <c r="Q34" i="39"/>
  <c r="R34" i="39"/>
  <c r="E35" i="39"/>
  <c r="F35" i="39"/>
  <c r="G35" i="39"/>
  <c r="H35" i="39"/>
  <c r="N35" i="39"/>
  <c r="O35" i="39"/>
  <c r="P35" i="39"/>
  <c r="Q35" i="39"/>
  <c r="E36" i="39"/>
  <c r="F36" i="39"/>
  <c r="G36" i="39"/>
  <c r="H36" i="39"/>
  <c r="N36" i="39"/>
  <c r="O36" i="39"/>
  <c r="P36" i="39"/>
  <c r="Q36" i="39"/>
  <c r="H41" i="39"/>
  <c r="Q41" i="39"/>
  <c r="H42" i="39"/>
  <c r="Q42" i="39"/>
  <c r="H45" i="39"/>
  <c r="I45" i="39"/>
  <c r="Q45" i="39"/>
  <c r="R45" i="39"/>
  <c r="E46" i="39"/>
  <c r="F46" i="39"/>
  <c r="G46" i="39"/>
  <c r="H46" i="39"/>
  <c r="N46" i="39"/>
  <c r="O46" i="39"/>
  <c r="P46" i="39"/>
  <c r="Q46" i="39"/>
  <c r="E47" i="39"/>
  <c r="F47" i="39"/>
  <c r="G47" i="39"/>
  <c r="H47" i="39"/>
  <c r="N47" i="39"/>
  <c r="O47" i="39"/>
  <c r="P47" i="39"/>
  <c r="Q47" i="39"/>
  <c r="H52" i="39"/>
  <c r="H53" i="39"/>
  <c r="H56" i="39"/>
  <c r="I56" i="39"/>
  <c r="E57" i="39"/>
  <c r="F57" i="39"/>
  <c r="G57" i="39"/>
  <c r="H57" i="39"/>
  <c r="E58" i="39"/>
  <c r="F58" i="39"/>
  <c r="G58" i="39"/>
  <c r="H58" i="39"/>
  <c r="L6" i="4"/>
  <c r="E10" i="4"/>
  <c r="F10" i="4"/>
  <c r="G10" i="4"/>
  <c r="H10" i="4"/>
  <c r="E11" i="4"/>
  <c r="F11" i="4"/>
  <c r="G11" i="4"/>
  <c r="H11" i="4"/>
  <c r="K11" i="4"/>
  <c r="E12" i="4"/>
  <c r="F12" i="4"/>
  <c r="G12" i="4"/>
  <c r="H12" i="4"/>
  <c r="O12" i="4"/>
  <c r="E13" i="4"/>
  <c r="F13" i="4"/>
  <c r="G13" i="4"/>
  <c r="H13" i="4"/>
  <c r="E14" i="4"/>
  <c r="F14" i="4"/>
  <c r="G14" i="4"/>
  <c r="H14" i="4"/>
  <c r="I14" i="4"/>
  <c r="E15" i="4"/>
  <c r="F15" i="4"/>
  <c r="G15" i="4"/>
  <c r="H15" i="4"/>
  <c r="E16" i="4"/>
  <c r="F16" i="4"/>
  <c r="G16" i="4"/>
  <c r="H16" i="4"/>
  <c r="I17" i="4"/>
  <c r="E22" i="4"/>
  <c r="F22" i="4"/>
  <c r="G22" i="4"/>
  <c r="H22" i="4"/>
  <c r="K22" i="4"/>
  <c r="E24" i="4"/>
  <c r="F24" i="4"/>
  <c r="G24" i="4"/>
  <c r="H13" i="8"/>
  <c r="I13" i="8"/>
  <c r="J13" i="8"/>
  <c r="K13" i="8"/>
  <c r="L13" i="8"/>
  <c r="M13" i="8"/>
  <c r="N13" i="8"/>
  <c r="O13" i="8"/>
  <c r="P13" i="8"/>
  <c r="Q13" i="8"/>
  <c r="R13" i="8"/>
  <c r="S13" i="8"/>
  <c r="T13" i="8"/>
  <c r="U13" i="8"/>
  <c r="V13" i="8"/>
  <c r="W13" i="8"/>
  <c r="X13" i="8"/>
  <c r="Y13" i="8"/>
  <c r="Z13" i="8"/>
  <c r="AA13" i="8"/>
  <c r="D14" i="8"/>
  <c r="H14" i="8"/>
  <c r="I14" i="8"/>
  <c r="J14" i="8"/>
  <c r="K14" i="8"/>
  <c r="L14" i="8"/>
  <c r="M14" i="8"/>
  <c r="N14" i="8"/>
  <c r="O14" i="8"/>
  <c r="P14" i="8"/>
  <c r="Q14" i="8"/>
  <c r="R14" i="8"/>
  <c r="S14" i="8"/>
  <c r="T14" i="8"/>
  <c r="U14" i="8"/>
  <c r="V14" i="8"/>
  <c r="W14" i="8"/>
  <c r="X14" i="8"/>
  <c r="Y14" i="8"/>
  <c r="Z14" i="8"/>
  <c r="AA14" i="8"/>
  <c r="H15" i="8"/>
  <c r="I15" i="8"/>
  <c r="J15" i="8"/>
  <c r="K15" i="8"/>
  <c r="L15" i="8"/>
  <c r="M15" i="8"/>
  <c r="N15" i="8"/>
  <c r="O15" i="8"/>
  <c r="P15" i="8"/>
  <c r="Q15" i="8"/>
  <c r="R15" i="8"/>
  <c r="S15" i="8"/>
  <c r="T15" i="8"/>
  <c r="U15" i="8"/>
  <c r="V15" i="8"/>
  <c r="W15" i="8"/>
  <c r="X15" i="8"/>
  <c r="Y15" i="8"/>
  <c r="Z15" i="8"/>
  <c r="AA15" i="8"/>
  <c r="D16" i="8"/>
  <c r="H20" i="8"/>
  <c r="I20" i="8"/>
  <c r="J20" i="8"/>
  <c r="K20" i="8"/>
  <c r="L20" i="8"/>
  <c r="M20" i="8"/>
  <c r="N20" i="8"/>
  <c r="O20" i="8"/>
  <c r="P20" i="8"/>
  <c r="Q20" i="8"/>
  <c r="R20" i="8"/>
  <c r="S20" i="8"/>
  <c r="T20" i="8"/>
  <c r="U20" i="8"/>
  <c r="V20" i="8"/>
  <c r="W20" i="8"/>
  <c r="X20" i="8"/>
  <c r="Y20" i="8"/>
  <c r="Z20" i="8"/>
  <c r="AA20" i="8"/>
  <c r="D21" i="8"/>
  <c r="H21" i="8"/>
  <c r="I21" i="8"/>
  <c r="J21" i="8"/>
  <c r="K21" i="8"/>
  <c r="L21" i="8"/>
  <c r="M21" i="8"/>
  <c r="N21" i="8"/>
  <c r="O21" i="8"/>
  <c r="P21" i="8"/>
  <c r="Q21" i="8"/>
  <c r="R21" i="8"/>
  <c r="S21" i="8"/>
  <c r="T21" i="8"/>
  <c r="U21" i="8"/>
  <c r="V21" i="8"/>
  <c r="W21" i="8"/>
  <c r="X21" i="8"/>
  <c r="Y21" i="8"/>
  <c r="Z21" i="8"/>
  <c r="AA21" i="8"/>
  <c r="H22" i="8"/>
  <c r="I22" i="8"/>
  <c r="J22" i="8"/>
  <c r="K22" i="8"/>
  <c r="L22" i="8"/>
  <c r="M22" i="8"/>
  <c r="N22" i="8"/>
  <c r="O22" i="8"/>
  <c r="P22" i="8"/>
  <c r="Q22" i="8"/>
  <c r="R22" i="8"/>
  <c r="S22" i="8"/>
  <c r="T22" i="8"/>
  <c r="U22" i="8"/>
  <c r="V22" i="8"/>
  <c r="W22" i="8"/>
  <c r="X22" i="8"/>
  <c r="Y22" i="8"/>
  <c r="Z22" i="8"/>
  <c r="AA22" i="8"/>
  <c r="D23" i="8"/>
  <c r="D23" i="13"/>
  <c r="F23" i="13"/>
  <c r="D24" i="13"/>
  <c r="F24" i="13"/>
  <c r="D25" i="13"/>
  <c r="F25" i="13"/>
  <c r="D26" i="13"/>
  <c r="F26" i="13"/>
  <c r="G10" i="10"/>
  <c r="H10" i="10"/>
  <c r="I10" i="10"/>
  <c r="J10" i="10"/>
  <c r="K10" i="10"/>
  <c r="L10" i="10"/>
  <c r="M10" i="10"/>
  <c r="N10" i="10"/>
  <c r="O10" i="10"/>
  <c r="P10" i="10"/>
  <c r="Q10" i="10"/>
  <c r="R10" i="10"/>
  <c r="S10" i="10"/>
  <c r="T10" i="10"/>
  <c r="U10" i="10"/>
  <c r="V10" i="10"/>
  <c r="W10" i="10"/>
  <c r="X10" i="10"/>
  <c r="Y10" i="10"/>
  <c r="Z10" i="10"/>
  <c r="AA10" i="10"/>
  <c r="AB10" i="10"/>
  <c r="E11" i="10"/>
  <c r="F11" i="10"/>
  <c r="G11" i="10"/>
  <c r="H11" i="10"/>
  <c r="E12" i="10"/>
  <c r="F12" i="10"/>
  <c r="G12" i="10"/>
  <c r="H12" i="10"/>
  <c r="I12" i="10"/>
  <c r="J12" i="10"/>
  <c r="K12" i="10"/>
  <c r="L12" i="10"/>
  <c r="M12" i="10"/>
  <c r="N12" i="10"/>
  <c r="O12" i="10"/>
  <c r="P12" i="10"/>
  <c r="Q12" i="10"/>
  <c r="R12" i="10"/>
  <c r="S12" i="10"/>
  <c r="T12" i="10"/>
  <c r="U12" i="10"/>
  <c r="V12" i="10"/>
  <c r="W12" i="10"/>
  <c r="X12" i="10"/>
  <c r="Y12" i="10"/>
  <c r="Z12" i="10"/>
  <c r="AA12" i="10"/>
  <c r="AB12" i="10"/>
  <c r="E13" i="10"/>
  <c r="I13" i="10"/>
  <c r="J13" i="10"/>
  <c r="K13" i="10"/>
  <c r="L13" i="10"/>
  <c r="M13" i="10"/>
  <c r="N13" i="10"/>
  <c r="O13" i="10"/>
  <c r="P13" i="10"/>
  <c r="Q13" i="10"/>
  <c r="R13" i="10"/>
  <c r="S13" i="10"/>
  <c r="T13" i="10"/>
  <c r="U13" i="10"/>
  <c r="V13" i="10"/>
  <c r="W13" i="10"/>
  <c r="X13" i="10"/>
  <c r="Y13" i="10"/>
  <c r="Z13" i="10"/>
  <c r="AA13" i="10"/>
  <c r="AB13" i="10"/>
  <c r="E14" i="10"/>
  <c r="I14" i="10"/>
  <c r="J14" i="10"/>
  <c r="K14" i="10"/>
  <c r="L14" i="10"/>
  <c r="M14" i="10"/>
  <c r="N14" i="10"/>
  <c r="O14" i="10"/>
  <c r="P14" i="10"/>
  <c r="Q14" i="10"/>
  <c r="R14" i="10"/>
  <c r="S14" i="10"/>
  <c r="T14" i="10"/>
  <c r="U14" i="10"/>
  <c r="V14" i="10"/>
  <c r="W14" i="10"/>
  <c r="X14" i="10"/>
  <c r="Y14" i="10"/>
  <c r="Z14" i="10"/>
  <c r="AA14" i="10"/>
  <c r="AB14" i="10"/>
  <c r="E15" i="10"/>
  <c r="I15" i="10"/>
  <c r="J15" i="10"/>
  <c r="K15" i="10"/>
  <c r="L15" i="10"/>
  <c r="M15" i="10"/>
  <c r="N15" i="10"/>
  <c r="O15" i="10"/>
  <c r="P15" i="10"/>
  <c r="Q15" i="10"/>
  <c r="R15" i="10"/>
  <c r="S15" i="10"/>
  <c r="T15" i="10"/>
  <c r="U15" i="10"/>
  <c r="V15" i="10"/>
  <c r="W15" i="10"/>
  <c r="X15" i="10"/>
  <c r="Y15" i="10"/>
  <c r="Z15" i="10"/>
  <c r="AA15" i="10"/>
  <c r="AB15" i="10"/>
  <c r="F16" i="10"/>
  <c r="G16" i="10"/>
  <c r="H16" i="10"/>
  <c r="I16" i="10"/>
  <c r="J16" i="10"/>
  <c r="K16" i="10"/>
  <c r="L16" i="10"/>
  <c r="M16" i="10"/>
  <c r="N16" i="10"/>
  <c r="O16" i="10"/>
  <c r="P16" i="10"/>
  <c r="Q16" i="10"/>
  <c r="R16" i="10"/>
  <c r="S16" i="10"/>
  <c r="T16" i="10"/>
  <c r="U16" i="10"/>
  <c r="V16" i="10"/>
  <c r="W16" i="10"/>
  <c r="X16" i="10"/>
  <c r="Y16" i="10"/>
  <c r="Z16" i="10"/>
  <c r="AA16" i="10"/>
  <c r="AB16" i="10"/>
  <c r="E17" i="10"/>
  <c r="I17" i="10"/>
  <c r="J17" i="10"/>
  <c r="K17" i="10"/>
  <c r="L17" i="10"/>
  <c r="M17" i="10"/>
  <c r="N17" i="10"/>
  <c r="O17" i="10"/>
  <c r="P17" i="10"/>
  <c r="Q17" i="10"/>
  <c r="R17" i="10"/>
  <c r="S17" i="10"/>
  <c r="T17" i="10"/>
  <c r="U17" i="10"/>
  <c r="V17" i="10"/>
  <c r="W17" i="10"/>
  <c r="X17" i="10"/>
  <c r="Y17" i="10"/>
  <c r="Z17" i="10"/>
  <c r="AA17" i="10"/>
  <c r="AB17" i="10"/>
  <c r="E18" i="10"/>
  <c r="I18" i="10"/>
  <c r="J18" i="10"/>
  <c r="K18" i="10"/>
  <c r="L18" i="10"/>
  <c r="M18" i="10"/>
  <c r="N18" i="10"/>
  <c r="O18" i="10"/>
  <c r="P18" i="10"/>
  <c r="Q18" i="10"/>
  <c r="R18" i="10"/>
  <c r="S18" i="10"/>
  <c r="T18" i="10"/>
  <c r="U18" i="10"/>
  <c r="V18" i="10"/>
  <c r="W18" i="10"/>
  <c r="X18" i="10"/>
  <c r="Y18" i="10"/>
  <c r="Z18" i="10"/>
  <c r="AA18" i="10"/>
  <c r="AB18" i="10"/>
  <c r="F7" i="14"/>
  <c r="J7" i="14"/>
  <c r="K7" i="14"/>
  <c r="L7" i="14"/>
  <c r="M7" i="14"/>
  <c r="N7" i="14"/>
  <c r="O7" i="14"/>
  <c r="P7" i="14"/>
  <c r="Q7" i="14"/>
  <c r="R7" i="14"/>
  <c r="F10" i="14"/>
  <c r="J10" i="14"/>
  <c r="K10" i="14"/>
  <c r="L10" i="14"/>
  <c r="M10" i="14"/>
  <c r="N10" i="14"/>
  <c r="O10" i="14"/>
  <c r="P10" i="14"/>
  <c r="Q10" i="14"/>
  <c r="R10" i="14"/>
  <c r="S10" i="14"/>
  <c r="T10" i="14"/>
  <c r="U10" i="14"/>
  <c r="V10" i="14"/>
  <c r="W10" i="14"/>
  <c r="X10" i="14"/>
  <c r="Y10" i="14"/>
  <c r="Z10" i="14"/>
  <c r="AA10" i="14"/>
  <c r="AB10" i="14"/>
  <c r="AC10" i="14"/>
  <c r="F13" i="14"/>
  <c r="G13" i="14"/>
  <c r="H13" i="14"/>
  <c r="I13" i="14"/>
  <c r="J13" i="14"/>
  <c r="K13" i="14"/>
  <c r="L13" i="14"/>
  <c r="M13" i="14"/>
  <c r="N13" i="14"/>
  <c r="O13" i="14"/>
  <c r="P13" i="14"/>
  <c r="Q13" i="14"/>
  <c r="F16" i="14"/>
  <c r="G16" i="14"/>
  <c r="H16" i="14"/>
  <c r="I16" i="14"/>
  <c r="J16" i="14"/>
  <c r="K16" i="14"/>
  <c r="L16" i="14"/>
  <c r="M16" i="14"/>
  <c r="N16" i="14"/>
  <c r="O16" i="14"/>
  <c r="P16" i="14"/>
  <c r="Q16" i="14"/>
  <c r="F17" i="14"/>
  <c r="E4" i="33"/>
  <c r="I4" i="33"/>
  <c r="J4" i="33"/>
  <c r="K4" i="33"/>
  <c r="E7" i="33"/>
  <c r="I7" i="33"/>
  <c r="J7" i="33"/>
  <c r="K7" i="33"/>
  <c r="E11" i="33"/>
  <c r="F11" i="33"/>
  <c r="G11" i="33"/>
  <c r="H11" i="33"/>
  <c r="I11" i="33"/>
  <c r="J11" i="33"/>
  <c r="K11" i="33"/>
  <c r="E14" i="33"/>
  <c r="F14" i="33"/>
  <c r="G14" i="33"/>
  <c r="H14" i="33"/>
  <c r="I14" i="33"/>
  <c r="J14" i="33"/>
  <c r="K14" i="33"/>
  <c r="E18" i="33"/>
  <c r="F18" i="33"/>
  <c r="G18" i="33"/>
  <c r="H18" i="33"/>
  <c r="I18" i="33"/>
  <c r="J18" i="33"/>
  <c r="K18" i="33"/>
  <c r="E21" i="33"/>
  <c r="F21" i="33"/>
  <c r="G21" i="33"/>
  <c r="H21" i="33"/>
  <c r="I21" i="33"/>
  <c r="J21" i="33"/>
  <c r="K21" i="33"/>
  <c r="E25" i="33"/>
  <c r="F25" i="33"/>
  <c r="G25" i="33"/>
  <c r="H25" i="33"/>
  <c r="I25" i="33"/>
  <c r="J25" i="33"/>
  <c r="E28" i="33"/>
  <c r="F28" i="33"/>
  <c r="G28" i="33"/>
  <c r="H28" i="33"/>
  <c r="I28" i="33"/>
  <c r="J28" i="33"/>
  <c r="E5" i="18"/>
  <c r="I5" i="18"/>
  <c r="J5" i="18"/>
  <c r="K5" i="18"/>
  <c r="L5" i="18"/>
  <c r="M5" i="18"/>
  <c r="N5" i="18"/>
  <c r="O5" i="18"/>
  <c r="P5" i="18"/>
  <c r="Q5" i="18"/>
  <c r="R5" i="18"/>
  <c r="S5" i="18"/>
  <c r="T5" i="18"/>
  <c r="U5" i="18"/>
  <c r="V5" i="18"/>
  <c r="W5" i="18"/>
  <c r="X5" i="18"/>
  <c r="Y5" i="18"/>
  <c r="Z5" i="18"/>
  <c r="AA5" i="18"/>
  <c r="AB5" i="18"/>
  <c r="E6" i="18"/>
  <c r="I6" i="18"/>
  <c r="J6" i="18"/>
  <c r="K6" i="18"/>
  <c r="L6" i="18"/>
  <c r="M6" i="18"/>
  <c r="N6" i="18"/>
  <c r="O6" i="18"/>
  <c r="P6" i="18"/>
  <c r="Q6" i="18"/>
  <c r="R6" i="18"/>
  <c r="S6" i="18"/>
  <c r="T6" i="18"/>
  <c r="U6" i="18"/>
  <c r="V6" i="18"/>
  <c r="W6" i="18"/>
  <c r="X6" i="18"/>
  <c r="Y6" i="18"/>
  <c r="Z6" i="18"/>
  <c r="AA6" i="18"/>
  <c r="AB6" i="18"/>
  <c r="E7" i="18"/>
  <c r="I7" i="18"/>
  <c r="J7" i="18"/>
  <c r="K7" i="18"/>
  <c r="L7" i="18"/>
  <c r="M7" i="18"/>
  <c r="N7" i="18"/>
  <c r="O7" i="18"/>
  <c r="P7" i="18"/>
  <c r="Q7" i="18"/>
  <c r="R7" i="18"/>
  <c r="S7" i="18"/>
  <c r="T7" i="18"/>
  <c r="U7" i="18"/>
  <c r="V7" i="18"/>
  <c r="W7" i="18"/>
  <c r="X7" i="18"/>
  <c r="Y7" i="18"/>
  <c r="Z7" i="18"/>
  <c r="AA7" i="18"/>
  <c r="AB7" i="18"/>
  <c r="E13" i="18"/>
  <c r="I13" i="18"/>
  <c r="J13" i="18"/>
  <c r="K13" i="18"/>
  <c r="L13" i="18"/>
  <c r="M13" i="18"/>
  <c r="N13" i="18"/>
  <c r="O13" i="18"/>
  <c r="P13" i="18"/>
  <c r="Q13" i="18"/>
  <c r="R13" i="18"/>
  <c r="S13" i="18"/>
  <c r="T13" i="18"/>
  <c r="U13" i="18"/>
  <c r="V13" i="18"/>
  <c r="W13" i="18"/>
  <c r="X13" i="18"/>
  <c r="Y13" i="18"/>
  <c r="Z13" i="18"/>
  <c r="AA13" i="18"/>
  <c r="AB13" i="18"/>
  <c r="E14" i="18"/>
  <c r="I14" i="18"/>
  <c r="J14" i="18"/>
  <c r="K14" i="18"/>
  <c r="L14" i="18"/>
  <c r="M14" i="18"/>
  <c r="N14" i="18"/>
  <c r="O14" i="18"/>
  <c r="P14" i="18"/>
  <c r="Q14" i="18"/>
  <c r="R14" i="18"/>
  <c r="S14" i="18"/>
  <c r="T14" i="18"/>
  <c r="U14" i="18"/>
  <c r="V14" i="18"/>
  <c r="W14" i="18"/>
  <c r="X14" i="18"/>
  <c r="Y14" i="18"/>
  <c r="Z14" i="18"/>
  <c r="AA14" i="18"/>
  <c r="AB14" i="18"/>
  <c r="E15" i="18"/>
  <c r="I15" i="18"/>
  <c r="J15" i="18"/>
  <c r="K15" i="18"/>
  <c r="L15" i="18"/>
  <c r="M15" i="18"/>
  <c r="N15" i="18"/>
  <c r="O15" i="18"/>
  <c r="P15" i="18"/>
  <c r="Q15" i="18"/>
  <c r="R15" i="18"/>
  <c r="S15" i="18"/>
  <c r="T15" i="18"/>
  <c r="U15" i="18"/>
  <c r="V15" i="18"/>
  <c r="W15" i="18"/>
  <c r="X15" i="18"/>
  <c r="Y15" i="18"/>
  <c r="Z15" i="18"/>
  <c r="AA15" i="18"/>
  <c r="AB15" i="18"/>
  <c r="E16" i="18"/>
  <c r="I16" i="18"/>
  <c r="J16" i="18"/>
  <c r="K16" i="18"/>
  <c r="L16" i="18"/>
  <c r="M16" i="18"/>
  <c r="N16" i="18"/>
  <c r="O16" i="18"/>
  <c r="P16" i="18"/>
  <c r="Q16" i="18"/>
  <c r="R16" i="18"/>
  <c r="S16" i="18"/>
  <c r="T16" i="18"/>
  <c r="U16" i="18"/>
  <c r="V16" i="18"/>
  <c r="W16" i="18"/>
  <c r="X16" i="18"/>
  <c r="Y16" i="18"/>
  <c r="Z16" i="18"/>
  <c r="AA16" i="18"/>
  <c r="AB16" i="18"/>
  <c r="E17" i="18"/>
  <c r="J17" i="18"/>
  <c r="K17" i="18"/>
  <c r="L17" i="18"/>
  <c r="M17" i="18"/>
  <c r="N17" i="18"/>
  <c r="O17" i="18"/>
  <c r="P17" i="18"/>
  <c r="Q17" i="18"/>
  <c r="R17" i="18"/>
  <c r="S17" i="18"/>
  <c r="T17" i="18"/>
  <c r="U17" i="18"/>
  <c r="V17" i="18"/>
  <c r="W17" i="18"/>
  <c r="X17" i="18"/>
  <c r="Y17" i="18"/>
  <c r="Z17" i="18"/>
  <c r="AA17" i="18"/>
  <c r="AB17" i="18"/>
  <c r="E18" i="18"/>
  <c r="I18" i="18"/>
  <c r="J18" i="18"/>
  <c r="K18" i="18"/>
  <c r="L18" i="18"/>
  <c r="M18" i="18"/>
  <c r="N18" i="18"/>
  <c r="O18" i="18"/>
  <c r="P18" i="18"/>
  <c r="Q18" i="18"/>
  <c r="R18" i="18"/>
  <c r="S18" i="18"/>
  <c r="T18" i="18"/>
  <c r="U18" i="18"/>
  <c r="V18" i="18"/>
  <c r="W18" i="18"/>
  <c r="X18" i="18"/>
  <c r="Y18" i="18"/>
  <c r="Z18" i="18"/>
  <c r="AA18" i="18"/>
  <c r="AB18" i="18"/>
  <c r="E19" i="18"/>
  <c r="I19" i="18"/>
  <c r="J19" i="18"/>
  <c r="K19" i="18"/>
  <c r="L19" i="18"/>
  <c r="M19" i="18"/>
  <c r="N19" i="18"/>
  <c r="O19" i="18"/>
  <c r="P19" i="18"/>
  <c r="Q19" i="18"/>
  <c r="R19" i="18"/>
  <c r="S19" i="18"/>
  <c r="T19" i="18"/>
  <c r="U19" i="18"/>
  <c r="V19" i="18"/>
  <c r="W19" i="18"/>
  <c r="X19" i="18"/>
  <c r="Y19" i="18"/>
  <c r="Z19" i="18"/>
  <c r="AA19" i="18"/>
  <c r="AB19" i="18"/>
  <c r="I20" i="18"/>
  <c r="J20" i="18"/>
  <c r="K20" i="18"/>
  <c r="L20" i="18"/>
  <c r="M20" i="18"/>
  <c r="N20" i="18"/>
  <c r="O20" i="18"/>
  <c r="P20" i="18"/>
  <c r="Q20" i="18"/>
  <c r="R20" i="18"/>
  <c r="S20" i="18"/>
  <c r="T20" i="18"/>
  <c r="U20" i="18"/>
  <c r="V20" i="18"/>
  <c r="W20" i="18"/>
  <c r="X20" i="18"/>
  <c r="Y20" i="18"/>
  <c r="Z20" i="18"/>
  <c r="AA20" i="18"/>
  <c r="AB20" i="18"/>
  <c r="D7" i="16"/>
  <c r="H7" i="16"/>
  <c r="I7" i="16"/>
  <c r="J7" i="16"/>
  <c r="K7" i="16"/>
  <c r="L7" i="16"/>
  <c r="M7" i="16"/>
  <c r="N7" i="16"/>
  <c r="O7" i="16"/>
  <c r="P7" i="16"/>
  <c r="Q7" i="16"/>
  <c r="R7" i="16"/>
  <c r="S7" i="16"/>
  <c r="T7" i="16"/>
  <c r="U7" i="16"/>
  <c r="V7" i="16"/>
  <c r="W7" i="16"/>
  <c r="X7" i="16"/>
  <c r="Y7" i="16"/>
  <c r="Z7" i="16"/>
  <c r="AA7" i="16"/>
  <c r="D8" i="16"/>
  <c r="H8" i="16"/>
  <c r="I8" i="16"/>
  <c r="J8" i="16"/>
  <c r="K8" i="16"/>
  <c r="L8" i="16"/>
  <c r="M8" i="16"/>
  <c r="N8" i="16"/>
  <c r="O8" i="16"/>
  <c r="P8" i="16"/>
  <c r="Q8" i="16"/>
  <c r="R8" i="16"/>
  <c r="S8" i="16"/>
  <c r="T8" i="16"/>
  <c r="U8" i="16"/>
  <c r="V8" i="16"/>
  <c r="W8" i="16"/>
  <c r="X8" i="16"/>
  <c r="Y8" i="16"/>
  <c r="Z8" i="16"/>
  <c r="AA8" i="16"/>
  <c r="D10" i="16"/>
  <c r="H10" i="16"/>
  <c r="I10" i="16"/>
  <c r="J10" i="16"/>
  <c r="K10" i="16"/>
  <c r="L10" i="16"/>
  <c r="M10" i="16"/>
  <c r="N10" i="16"/>
  <c r="O10" i="16"/>
  <c r="P10" i="16"/>
  <c r="Q10" i="16"/>
  <c r="R10" i="16"/>
  <c r="S10" i="16"/>
  <c r="T10" i="16"/>
  <c r="U10" i="16"/>
  <c r="V10" i="16"/>
  <c r="W10" i="16"/>
  <c r="X10" i="16"/>
  <c r="Y10" i="16"/>
  <c r="Z10" i="16"/>
  <c r="AA10" i="16"/>
  <c r="D12" i="16"/>
  <c r="H12" i="16"/>
  <c r="I12" i="16"/>
  <c r="J12" i="16"/>
  <c r="K12" i="16"/>
  <c r="L12" i="16"/>
  <c r="M12" i="16"/>
  <c r="N12" i="16"/>
  <c r="O12" i="16"/>
  <c r="P12" i="16"/>
  <c r="Q12" i="16"/>
  <c r="R12" i="16"/>
  <c r="S12" i="16"/>
  <c r="T12" i="16"/>
  <c r="U12" i="16"/>
  <c r="V12" i="16"/>
  <c r="W12" i="16"/>
  <c r="X12" i="16"/>
  <c r="Y12" i="16"/>
  <c r="Z12" i="16"/>
  <c r="AA12" i="16"/>
  <c r="D13" i="16"/>
  <c r="H13" i="16"/>
  <c r="I13" i="16"/>
  <c r="J13" i="16"/>
  <c r="K13" i="16"/>
  <c r="L13" i="16"/>
  <c r="M13" i="16"/>
  <c r="N13" i="16"/>
  <c r="O13" i="16"/>
  <c r="P13" i="16"/>
  <c r="Q13" i="16"/>
  <c r="R13" i="16"/>
  <c r="S13" i="16"/>
  <c r="T13" i="16"/>
  <c r="U13" i="16"/>
  <c r="V13" i="16"/>
  <c r="W13" i="16"/>
  <c r="X13" i="16"/>
  <c r="Y13" i="16"/>
  <c r="Z13" i="16"/>
  <c r="AA13" i="16"/>
  <c r="D14" i="16"/>
  <c r="H14" i="16"/>
  <c r="I14" i="16"/>
  <c r="J14" i="16"/>
  <c r="K14" i="16"/>
  <c r="L14" i="16"/>
  <c r="M14" i="16"/>
  <c r="N14" i="16"/>
  <c r="O14" i="16"/>
  <c r="P14" i="16"/>
  <c r="Q14" i="16"/>
  <c r="R14" i="16"/>
  <c r="S14" i="16"/>
  <c r="T14" i="16"/>
  <c r="U14" i="16"/>
  <c r="V14" i="16"/>
  <c r="W14" i="16"/>
  <c r="X14" i="16"/>
  <c r="Y14" i="16"/>
  <c r="Z14" i="16"/>
  <c r="AA14" i="16"/>
  <c r="D15" i="16"/>
  <c r="H15" i="16"/>
  <c r="I15" i="16"/>
  <c r="J15" i="16"/>
  <c r="K15" i="16"/>
  <c r="L15" i="16"/>
  <c r="M15" i="16"/>
  <c r="N15" i="16"/>
  <c r="O15" i="16"/>
  <c r="P15" i="16"/>
  <c r="Q15" i="16"/>
  <c r="R15" i="16"/>
  <c r="S15" i="16"/>
  <c r="T15" i="16"/>
  <c r="U15" i="16"/>
  <c r="V15" i="16"/>
  <c r="W15" i="16"/>
  <c r="X15" i="16"/>
  <c r="Y15" i="16"/>
  <c r="Z15" i="16"/>
  <c r="AA15" i="16"/>
  <c r="N16" i="16"/>
  <c r="O16" i="16"/>
  <c r="P16" i="16"/>
  <c r="Q16" i="16"/>
  <c r="D17" i="16"/>
  <c r="Q17" i="16"/>
  <c r="R17" i="16"/>
  <c r="S17" i="16"/>
  <c r="T17" i="16"/>
  <c r="U17" i="16"/>
  <c r="V17" i="16"/>
  <c r="W17" i="16"/>
  <c r="X17" i="16"/>
  <c r="Y17" i="16"/>
  <c r="Z17" i="16"/>
  <c r="AA17" i="16"/>
  <c r="D18" i="16"/>
  <c r="Q18" i="16"/>
  <c r="R18" i="16"/>
  <c r="S18" i="16"/>
  <c r="T18" i="16"/>
  <c r="U18" i="16"/>
  <c r="V18" i="16"/>
  <c r="W18" i="16"/>
  <c r="X18" i="16"/>
  <c r="Y18" i="16"/>
  <c r="Z18" i="16"/>
  <c r="AA18" i="16"/>
  <c r="D19" i="16"/>
  <c r="H19" i="16"/>
  <c r="I19" i="16"/>
  <c r="J19" i="16"/>
  <c r="K19" i="16"/>
  <c r="L19" i="16"/>
  <c r="M19" i="16"/>
  <c r="N19" i="16"/>
  <c r="O19" i="16"/>
  <c r="P19" i="16"/>
  <c r="Q19" i="16"/>
  <c r="R19" i="16"/>
  <c r="S19" i="16"/>
  <c r="T19" i="16"/>
  <c r="U19" i="16"/>
  <c r="V19" i="16"/>
  <c r="W19" i="16"/>
  <c r="X19" i="16"/>
  <c r="Y19" i="16"/>
  <c r="Z19" i="16"/>
  <c r="AA19" i="16"/>
  <c r="H20" i="16"/>
  <c r="I20" i="16"/>
  <c r="J20" i="16"/>
  <c r="K20" i="16"/>
  <c r="L20" i="16"/>
  <c r="M20" i="16"/>
  <c r="N20" i="16"/>
  <c r="O20" i="16"/>
  <c r="P20" i="16"/>
  <c r="Q20" i="16"/>
  <c r="R20" i="16"/>
  <c r="S20" i="16"/>
  <c r="T20" i="16"/>
  <c r="U20" i="16"/>
  <c r="V20" i="16"/>
  <c r="W20" i="16"/>
  <c r="X20" i="16"/>
  <c r="Y20" i="16"/>
  <c r="Z20" i="16"/>
  <c r="AA20" i="16"/>
  <c r="D21" i="16"/>
  <c r="S21" i="16"/>
  <c r="T21" i="16"/>
  <c r="U21" i="16"/>
  <c r="V21" i="16"/>
  <c r="W21" i="16"/>
  <c r="X21" i="16"/>
  <c r="Y21" i="16"/>
  <c r="Z21" i="16"/>
  <c r="AA21" i="16"/>
  <c r="D22" i="16"/>
  <c r="S22" i="16"/>
  <c r="T22" i="16"/>
  <c r="U22" i="16"/>
  <c r="V22" i="16"/>
  <c r="W22" i="16"/>
  <c r="X22" i="16"/>
  <c r="Y22" i="16"/>
  <c r="Z22" i="16"/>
  <c r="AA22" i="16"/>
  <c r="D23" i="16"/>
  <c r="H23" i="16"/>
  <c r="I23" i="16"/>
  <c r="J23" i="16"/>
  <c r="K23" i="16"/>
  <c r="L23" i="16"/>
  <c r="M23" i="16"/>
  <c r="N23" i="16"/>
  <c r="O23" i="16"/>
  <c r="P23" i="16"/>
  <c r="Q23" i="16"/>
  <c r="R23" i="16"/>
  <c r="S23" i="16"/>
  <c r="T23" i="16"/>
  <c r="U23" i="16"/>
  <c r="V23" i="16"/>
  <c r="W23" i="16"/>
  <c r="X23" i="16"/>
  <c r="Y23" i="16"/>
  <c r="Z23" i="16"/>
  <c r="AA23" i="16"/>
  <c r="D24" i="16"/>
  <c r="H24" i="16"/>
  <c r="I24" i="16"/>
  <c r="J24" i="16"/>
  <c r="K24" i="16"/>
  <c r="L24" i="16"/>
  <c r="M24" i="16"/>
  <c r="N24" i="16"/>
  <c r="O24" i="16"/>
  <c r="P24" i="16"/>
  <c r="Q24" i="16"/>
  <c r="R24" i="16"/>
  <c r="S24" i="16"/>
  <c r="T24" i="16"/>
  <c r="U24" i="16"/>
  <c r="V24" i="16"/>
  <c r="W24" i="16"/>
  <c r="X24" i="16"/>
  <c r="Y24" i="16"/>
  <c r="Z24" i="16"/>
  <c r="AA24" i="16"/>
  <c r="D3" i="53"/>
  <c r="H3" i="53"/>
  <c r="D4" i="53"/>
  <c r="H4" i="53"/>
  <c r="D5" i="53"/>
  <c r="H5" i="53"/>
  <c r="D6" i="53"/>
  <c r="H6" i="53"/>
  <c r="D7" i="53"/>
  <c r="H7" i="53"/>
  <c r="D8" i="53"/>
  <c r="H8" i="53"/>
  <c r="D9" i="53"/>
  <c r="H9" i="53"/>
  <c r="D10" i="53"/>
  <c r="H10" i="53"/>
  <c r="D11" i="53"/>
  <c r="H11" i="53"/>
  <c r="D12" i="53"/>
  <c r="H12" i="53"/>
  <c r="D13" i="53"/>
  <c r="H13" i="53"/>
  <c r="D14" i="53"/>
  <c r="H14" i="53"/>
  <c r="D15" i="53"/>
  <c r="H15" i="53"/>
  <c r="D16" i="53"/>
  <c r="H16" i="53"/>
  <c r="D17" i="53"/>
  <c r="H17" i="53"/>
  <c r="D18" i="53"/>
  <c r="H18" i="53"/>
  <c r="D19" i="53"/>
  <c r="H19" i="53"/>
  <c r="D20" i="53"/>
  <c r="H20" i="53"/>
  <c r="D21" i="53"/>
  <c r="H21" i="53"/>
  <c r="D22" i="53"/>
  <c r="H22" i="53"/>
  <c r="D23" i="53"/>
  <c r="H23" i="53"/>
  <c r="D24" i="53"/>
  <c r="H24" i="53"/>
  <c r="D25" i="53"/>
  <c r="H25" i="53"/>
  <c r="D4" i="27"/>
  <c r="E4" i="27"/>
  <c r="F4" i="27"/>
  <c r="G4" i="27"/>
  <c r="H4" i="27"/>
  <c r="I4" i="27"/>
  <c r="J4" i="27"/>
  <c r="K4" i="27"/>
  <c r="L4" i="27"/>
  <c r="M4" i="27"/>
  <c r="N4" i="27"/>
  <c r="O4" i="27"/>
  <c r="P4" i="27"/>
  <c r="Q4" i="27"/>
  <c r="R4" i="27"/>
  <c r="S4" i="27"/>
  <c r="T4" i="27"/>
  <c r="U4" i="27"/>
  <c r="V4" i="27"/>
  <c r="W4" i="27"/>
  <c r="X4" i="27"/>
  <c r="Y4" i="27"/>
  <c r="Z4" i="27"/>
  <c r="D5" i="27"/>
  <c r="E5" i="27"/>
  <c r="F5" i="27"/>
  <c r="G6" i="27"/>
  <c r="H6" i="27"/>
  <c r="I6" i="27"/>
  <c r="J6" i="27"/>
  <c r="K6" i="27"/>
  <c r="L6" i="27"/>
  <c r="M6" i="27"/>
  <c r="N6" i="27"/>
  <c r="O6" i="27"/>
  <c r="P6" i="27"/>
  <c r="Q6" i="27"/>
  <c r="R6" i="27"/>
  <c r="S6" i="27"/>
  <c r="T6" i="27"/>
  <c r="U6" i="27"/>
  <c r="V6" i="27"/>
  <c r="W6" i="27"/>
  <c r="X6" i="27"/>
  <c r="Y6" i="27"/>
  <c r="Z6" i="27"/>
  <c r="D10" i="27"/>
  <c r="E10" i="27"/>
  <c r="F10" i="27"/>
  <c r="G10" i="27"/>
  <c r="H10" i="27"/>
  <c r="I10" i="27"/>
  <c r="J10" i="27"/>
  <c r="K10" i="27"/>
  <c r="L10" i="27"/>
  <c r="M10" i="27"/>
  <c r="N10" i="27"/>
  <c r="O10" i="27"/>
  <c r="P10" i="27"/>
  <c r="Q10" i="27"/>
  <c r="R10" i="27"/>
  <c r="S10" i="27"/>
  <c r="T10" i="27"/>
  <c r="U10" i="27"/>
  <c r="V10" i="27"/>
  <c r="W10" i="27"/>
  <c r="X10" i="27"/>
  <c r="Y10" i="27"/>
  <c r="Z10" i="27"/>
  <c r="D12" i="27"/>
  <c r="E12" i="27"/>
  <c r="F12" i="27"/>
  <c r="G12" i="27"/>
  <c r="H12" i="27"/>
  <c r="I12" i="27"/>
  <c r="J12" i="27"/>
  <c r="K12" i="27"/>
  <c r="L12" i="27"/>
  <c r="M12" i="27"/>
  <c r="N12" i="27"/>
  <c r="O12" i="27"/>
  <c r="P12" i="27"/>
  <c r="Q12" i="27"/>
  <c r="R12" i="27"/>
  <c r="S12" i="27"/>
  <c r="T12" i="27"/>
  <c r="U12" i="27"/>
  <c r="V12" i="27"/>
  <c r="W12" i="27"/>
  <c r="X12" i="27"/>
  <c r="Y12" i="27"/>
  <c r="Z12" i="27"/>
  <c r="AB12" i="27"/>
  <c r="AC12" i="27"/>
  <c r="D4" i="34"/>
  <c r="E4" i="34"/>
  <c r="F4" i="34"/>
  <c r="G4" i="34"/>
  <c r="H4" i="34"/>
  <c r="I4" i="34"/>
  <c r="D5" i="34"/>
  <c r="E5" i="34"/>
  <c r="F5" i="34"/>
  <c r="G6" i="34"/>
  <c r="H6" i="34"/>
  <c r="I6" i="34"/>
  <c r="D10" i="34"/>
  <c r="E10" i="34"/>
  <c r="F10" i="34"/>
  <c r="G10" i="34"/>
  <c r="H10" i="34"/>
  <c r="I10" i="34"/>
  <c r="D12" i="34"/>
  <c r="E12" i="34"/>
  <c r="F12" i="34"/>
  <c r="G12" i="34"/>
  <c r="H12" i="34"/>
  <c r="I12" i="34"/>
  <c r="D16" i="34"/>
  <c r="E16" i="34"/>
  <c r="F16" i="34"/>
  <c r="G16" i="34"/>
  <c r="H16" i="34"/>
  <c r="I16" i="34"/>
  <c r="D18" i="34"/>
  <c r="E18" i="34"/>
  <c r="F18" i="34"/>
  <c r="G18" i="34"/>
  <c r="H18" i="34"/>
  <c r="I18" i="34"/>
  <c r="D22" i="34"/>
  <c r="E22" i="34"/>
  <c r="F22" i="34"/>
  <c r="G22" i="34"/>
  <c r="H22" i="34"/>
  <c r="I22" i="34"/>
  <c r="D24" i="34"/>
  <c r="E24" i="34"/>
  <c r="F24" i="34"/>
  <c r="G24" i="34"/>
  <c r="H24" i="34"/>
  <c r="I24" i="34"/>
  <c r="D28" i="34"/>
  <c r="E28" i="34"/>
  <c r="F28" i="34"/>
  <c r="G28" i="34"/>
  <c r="H28" i="34"/>
  <c r="I28" i="34"/>
  <c r="D30" i="34"/>
  <c r="E30" i="34"/>
  <c r="F30" i="34"/>
  <c r="G30" i="34"/>
  <c r="H30" i="34"/>
  <c r="I30" i="34"/>
  <c r="D34" i="34"/>
  <c r="E34" i="34"/>
  <c r="F34" i="34"/>
  <c r="G34" i="34"/>
  <c r="H34" i="34"/>
  <c r="I34" i="34"/>
  <c r="D36" i="34"/>
  <c r="E36" i="34"/>
  <c r="F36" i="34"/>
  <c r="G36" i="34"/>
  <c r="H36" i="34"/>
  <c r="I36" i="34"/>
  <c r="D40" i="34"/>
  <c r="E40" i="34"/>
  <c r="F40" i="34"/>
  <c r="G40" i="34"/>
  <c r="H40" i="34"/>
  <c r="D42" i="34"/>
  <c r="E42" i="34"/>
  <c r="F42" i="34"/>
  <c r="G42" i="34"/>
  <c r="H42" i="34"/>
  <c r="D46" i="34"/>
  <c r="E46" i="34"/>
  <c r="F46" i="34"/>
  <c r="G46" i="34"/>
  <c r="H46" i="34"/>
  <c r="D48" i="34"/>
  <c r="E48" i="34"/>
  <c r="F48" i="34"/>
  <c r="G48" i="34"/>
  <c r="H48" i="34"/>
  <c r="F3" i="40"/>
  <c r="G3" i="40"/>
  <c r="F4" i="40"/>
  <c r="G4" i="40"/>
  <c r="F5" i="40"/>
  <c r="G5" i="40"/>
  <c r="F6" i="40"/>
  <c r="G6" i="40"/>
  <c r="F7" i="40"/>
  <c r="G7" i="40"/>
  <c r="F8" i="40"/>
  <c r="G8" i="40"/>
  <c r="F9" i="40"/>
  <c r="G9" i="40"/>
  <c r="F10" i="40"/>
  <c r="G10" i="40"/>
  <c r="F11" i="40"/>
  <c r="G11" i="40"/>
  <c r="F12" i="40"/>
  <c r="G12" i="40"/>
  <c r="D4" i="29"/>
  <c r="F4" i="29"/>
  <c r="G4" i="29"/>
  <c r="D5" i="29"/>
  <c r="F5" i="29"/>
  <c r="G5" i="29"/>
  <c r="D6" i="29"/>
  <c r="F6" i="29"/>
  <c r="G6" i="29"/>
  <c r="D7" i="29"/>
  <c r="F8" i="29"/>
  <c r="G8" i="29"/>
  <c r="D10" i="29"/>
  <c r="D11" i="29"/>
  <c r="F11" i="29"/>
  <c r="G11" i="29"/>
  <c r="D14" i="29"/>
  <c r="F14" i="29"/>
  <c r="G14" i="29"/>
  <c r="D15" i="29"/>
  <c r="F15" i="29"/>
  <c r="G15" i="29"/>
  <c r="J3" i="37"/>
  <c r="K3" i="37"/>
  <c r="M3" i="37"/>
  <c r="N3" i="37"/>
  <c r="J4" i="37"/>
  <c r="K4" i="37"/>
  <c r="M4" i="37"/>
  <c r="N4" i="37"/>
  <c r="J5" i="37"/>
  <c r="K5" i="37"/>
  <c r="M5" i="37"/>
  <c r="N5" i="37"/>
  <c r="J6" i="37"/>
  <c r="K6" i="37"/>
  <c r="M6" i="37"/>
  <c r="N6" i="37"/>
  <c r="J7" i="37"/>
  <c r="K7" i="37"/>
  <c r="M7" i="37"/>
  <c r="N7" i="37"/>
  <c r="J8" i="37"/>
  <c r="K8" i="37"/>
  <c r="M8" i="37"/>
  <c r="N8" i="37"/>
  <c r="J9" i="37"/>
  <c r="K9" i="37"/>
  <c r="M9" i="37"/>
  <c r="N9" i="37"/>
  <c r="J10" i="37"/>
  <c r="K10" i="37"/>
  <c r="M10" i="37"/>
  <c r="N10" i="37"/>
  <c r="J11" i="37"/>
  <c r="K11" i="37"/>
  <c r="M11" i="37"/>
  <c r="N11" i="37"/>
  <c r="J12" i="37"/>
  <c r="K12" i="37"/>
  <c r="M12" i="37"/>
  <c r="N12" i="37"/>
  <c r="I4" i="26"/>
  <c r="N4" i="26"/>
  <c r="I6" i="26"/>
  <c r="N6" i="26"/>
  <c r="D8" i="26"/>
  <c r="G8" i="26"/>
  <c r="N8" i="26"/>
  <c r="D9" i="26"/>
  <c r="G9" i="26"/>
  <c r="N9" i="26"/>
  <c r="C10" i="26"/>
  <c r="C11" i="26"/>
  <c r="C20" i="26"/>
</calcChain>
</file>

<file path=xl/comments1.xml><?xml version="1.0" encoding="utf-8"?>
<comments xmlns="http://schemas.openxmlformats.org/spreadsheetml/2006/main">
  <authors>
    <author>作者</author>
  </authors>
  <commentList>
    <comment ref="I32" authorId="0" shapeId="0">
      <text>
        <r>
          <rPr>
            <b/>
            <sz val="9"/>
            <color rgb="FF000000"/>
            <rFont val="宋体"/>
            <family val="3"/>
            <charset val="134"/>
          </rPr>
          <t>作者</t>
        </r>
        <r>
          <rPr>
            <b/>
            <sz val="9"/>
            <color rgb="FF000000"/>
            <rFont val="宋体"/>
            <family val="3"/>
            <charset val="134"/>
          </rPr>
          <t>:</t>
        </r>
        <r>
          <rPr>
            <sz val="9"/>
            <color rgb="FF000000"/>
            <rFont val="宋体"/>
            <family val="3"/>
            <charset val="134"/>
          </rPr>
          <t xml:space="preserve">
</t>
        </r>
        <r>
          <rPr>
            <sz val="9"/>
            <color rgb="FF000000"/>
            <rFont val="宋体"/>
            <family val="3"/>
            <charset val="134"/>
          </rPr>
          <t>街路面积</t>
        </r>
        <r>
          <rPr>
            <sz val="9"/>
            <color rgb="FF000000"/>
            <rFont val="宋体"/>
            <family val="3"/>
            <charset val="134"/>
          </rPr>
          <t>470845</t>
        </r>
        <r>
          <rPr>
            <sz val="9"/>
            <color rgb="FF000000"/>
            <rFont val="宋体"/>
            <family val="3"/>
            <charset val="134"/>
          </rPr>
          <t>，绿化面积</t>
        </r>
        <r>
          <rPr>
            <sz val="9"/>
            <color rgb="FF000000"/>
            <rFont val="宋体"/>
            <family val="3"/>
            <charset val="134"/>
          </rPr>
          <t>333400</t>
        </r>
      </text>
    </comment>
  </commentList>
</comments>
</file>

<file path=xl/comments2.xml><?xml version="1.0" encoding="utf-8"?>
<comments xmlns="http://schemas.openxmlformats.org/spreadsheetml/2006/main">
  <authors>
    <author>王昊</author>
  </authors>
  <commentList>
    <comment ref="D27" authorId="0" shapeId="0">
      <text>
        <r>
          <rPr>
            <b/>
            <sz val="9"/>
            <color rgb="FF000000"/>
            <rFont val="宋体"/>
            <family val="3"/>
            <charset val="134"/>
          </rPr>
          <t>王昊</t>
        </r>
        <r>
          <rPr>
            <b/>
            <sz val="9"/>
            <color rgb="FF000000"/>
            <rFont val="宋体"/>
            <family val="3"/>
            <charset val="134"/>
          </rPr>
          <t>:</t>
        </r>
        <r>
          <rPr>
            <sz val="9"/>
            <color rgb="FF000000"/>
            <rFont val="宋体"/>
            <family val="3"/>
            <charset val="134"/>
          </rPr>
          <t xml:space="preserve">
</t>
        </r>
        <r>
          <rPr>
            <sz val="9"/>
            <color rgb="FF000000"/>
            <rFont val="宋体"/>
            <family val="3"/>
            <charset val="134"/>
          </rPr>
          <t>含建设期利息</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<sst xmlns="http://schemas.openxmlformats.org/spreadsheetml/2006/main" count="1542" uniqueCount="590">
  <si>
    <t>序号</t>
  </si>
  <si>
    <t>项目名称</t>
  </si>
  <si>
    <t>建设内容</t>
  </si>
  <si>
    <t>土地权属</t>
  </si>
  <si>
    <t>园区</t>
  </si>
  <si>
    <t>村集体</t>
  </si>
  <si>
    <t>合计</t>
  </si>
  <si>
    <t>序号</t>
    <phoneticPr fontId="3" type="noConversion"/>
  </si>
  <si>
    <t>名称</t>
    <phoneticPr fontId="3" type="noConversion"/>
  </si>
  <si>
    <t>投资额（万元）</t>
    <phoneticPr fontId="3" type="noConversion"/>
  </si>
  <si>
    <t>建设投资比例</t>
    <phoneticPr fontId="3" type="noConversion"/>
  </si>
  <si>
    <t>总投资比例</t>
    <phoneticPr fontId="3" type="noConversion"/>
  </si>
  <si>
    <t>一</t>
    <phoneticPr fontId="3" type="noConversion"/>
  </si>
  <si>
    <t>建设投资</t>
    <phoneticPr fontId="3" type="noConversion"/>
  </si>
  <si>
    <t>（一）</t>
    <phoneticPr fontId="3" type="noConversion"/>
  </si>
  <si>
    <t>建安工程费</t>
    <phoneticPr fontId="3" type="noConversion"/>
  </si>
  <si>
    <t>（二）</t>
    <phoneticPr fontId="3" type="noConversion"/>
  </si>
  <si>
    <t>工程建设其他费用</t>
    <phoneticPr fontId="3" type="noConversion"/>
  </si>
  <si>
    <t>（三）</t>
    <phoneticPr fontId="3" type="noConversion"/>
  </si>
  <si>
    <t>（四）</t>
    <phoneticPr fontId="3" type="noConversion"/>
  </si>
  <si>
    <t>预备费</t>
    <phoneticPr fontId="3" type="noConversion"/>
  </si>
  <si>
    <t>二</t>
    <phoneticPr fontId="3" type="noConversion"/>
  </si>
  <si>
    <t>建设期利息</t>
    <phoneticPr fontId="3" type="noConversion"/>
  </si>
  <si>
    <t>估算总投资（一+二）</t>
    <phoneticPr fontId="3" type="noConversion"/>
  </si>
  <si>
    <t>子项目一：</t>
    <phoneticPr fontId="3" type="noConversion"/>
  </si>
  <si>
    <t>其中：土地费用</t>
    <phoneticPr fontId="3" type="noConversion"/>
  </si>
  <si>
    <t>子项目二：</t>
    <phoneticPr fontId="3" type="noConversion"/>
  </si>
  <si>
    <t>子项目三：</t>
    <phoneticPr fontId="3" type="noConversion"/>
  </si>
  <si>
    <t>子项目四：</t>
    <phoneticPr fontId="3" type="noConversion"/>
  </si>
  <si>
    <t>子项目五：</t>
    <phoneticPr fontId="3" type="noConversion"/>
  </si>
  <si>
    <t>子项目六：</t>
    <phoneticPr fontId="3" type="noConversion"/>
  </si>
  <si>
    <t>子项目七：</t>
    <phoneticPr fontId="3" type="noConversion"/>
  </si>
  <si>
    <t>子项目八：</t>
    <phoneticPr fontId="3" type="noConversion"/>
  </si>
  <si>
    <t>子项目九：</t>
    <phoneticPr fontId="3" type="noConversion"/>
  </si>
  <si>
    <t>子项目十：</t>
    <phoneticPr fontId="3" type="noConversion"/>
  </si>
  <si>
    <t>子项目十一：</t>
    <phoneticPr fontId="3" type="noConversion"/>
  </si>
  <si>
    <t>子项目十二：</t>
    <phoneticPr fontId="3" type="noConversion"/>
  </si>
  <si>
    <t>子项目十三：</t>
    <phoneticPr fontId="3" type="noConversion"/>
  </si>
  <si>
    <t>子项目十四：</t>
    <phoneticPr fontId="3" type="noConversion"/>
  </si>
  <si>
    <t>项目名称</t>
    <phoneticPr fontId="3" type="noConversion"/>
  </si>
  <si>
    <t>第一年</t>
    <phoneticPr fontId="3" type="noConversion"/>
  </si>
  <si>
    <t>第二年</t>
    <phoneticPr fontId="3" type="noConversion"/>
  </si>
  <si>
    <t>合计</t>
    <phoneticPr fontId="3" type="noConversion"/>
  </si>
  <si>
    <t>占比</t>
    <phoneticPr fontId="3" type="noConversion"/>
  </si>
  <si>
    <t>项目总投资</t>
    <phoneticPr fontId="3" type="noConversion"/>
  </si>
  <si>
    <t>项目资本金</t>
    <phoneticPr fontId="3" type="noConversion"/>
  </si>
  <si>
    <t>政府方出资</t>
    <phoneticPr fontId="3" type="noConversion"/>
  </si>
  <si>
    <t>社会资本方出资</t>
    <phoneticPr fontId="3" type="noConversion"/>
  </si>
  <si>
    <t>融资资金</t>
    <phoneticPr fontId="3" type="noConversion"/>
  </si>
  <si>
    <t>融资本金</t>
    <phoneticPr fontId="3" type="noConversion"/>
  </si>
  <si>
    <t xml:space="preserve">基准利率LPR </t>
    <phoneticPr fontId="3" type="noConversion"/>
  </si>
  <si>
    <t>上浮水平</t>
    <phoneticPr fontId="3" type="noConversion"/>
  </si>
  <si>
    <t>工程建设其他费</t>
    <phoneticPr fontId="3" type="noConversion"/>
  </si>
  <si>
    <t>预备费</t>
  </si>
  <si>
    <t>二</t>
  </si>
  <si>
    <t>税务边界</t>
    <phoneticPr fontId="6" type="noConversion"/>
  </si>
  <si>
    <t>序号</t>
    <phoneticPr fontId="6" type="noConversion"/>
  </si>
  <si>
    <t>名称</t>
    <phoneticPr fontId="6" type="noConversion"/>
  </si>
  <si>
    <t>税率</t>
    <phoneticPr fontId="6" type="noConversion"/>
  </si>
  <si>
    <t>备注</t>
    <phoneticPr fontId="6" type="noConversion"/>
  </si>
  <si>
    <t>建筑工程费</t>
  </si>
  <si>
    <t>安装工程费</t>
  </si>
  <si>
    <t>设备购置费</t>
  </si>
  <si>
    <t>工程建设其他费</t>
    <phoneticPr fontId="6" type="noConversion"/>
  </si>
  <si>
    <t>其他费用</t>
  </si>
  <si>
    <t>城市维护建设费</t>
  </si>
  <si>
    <t>教育费附加</t>
  </si>
  <si>
    <t>地方教育费附加</t>
  </si>
  <si>
    <t>地方水利专项基金</t>
  </si>
  <si>
    <t>房产税</t>
    <phoneticPr fontId="6" type="noConversion"/>
  </si>
  <si>
    <t>燃料动力</t>
    <phoneticPr fontId="6" type="noConversion"/>
  </si>
  <si>
    <t>经营收入</t>
    <phoneticPr fontId="6" type="noConversion"/>
  </si>
  <si>
    <t>物业收入</t>
    <phoneticPr fontId="6" type="noConversion"/>
  </si>
  <si>
    <t>可行性缺口补助</t>
    <phoneticPr fontId="6" type="noConversion"/>
  </si>
  <si>
    <t>项目</t>
  </si>
  <si>
    <t>建设期</t>
    <phoneticPr fontId="6" type="noConversion"/>
  </si>
  <si>
    <t>一</t>
  </si>
  <si>
    <t>建设投资-含税</t>
  </si>
  <si>
    <t>增值税-进项税</t>
  </si>
  <si>
    <t>三</t>
  </si>
  <si>
    <t>建设投资成本-不含税</t>
  </si>
  <si>
    <t/>
  </si>
  <si>
    <t>合作期</t>
    <phoneticPr fontId="6" type="noConversion"/>
  </si>
  <si>
    <t>项   目</t>
    <phoneticPr fontId="6" type="noConversion"/>
  </si>
  <si>
    <t>借款利率</t>
    <phoneticPr fontId="11" type="noConversion"/>
  </si>
  <si>
    <t>合计</t>
    <phoneticPr fontId="6" type="noConversion"/>
  </si>
  <si>
    <t>期初借款余额</t>
    <phoneticPr fontId="11" type="noConversion"/>
  </si>
  <si>
    <t>本年借款</t>
  </si>
  <si>
    <t>本年应计利息</t>
  </si>
  <si>
    <t>本年还本付息</t>
  </si>
  <si>
    <t>其中：还本</t>
  </si>
  <si>
    <t xml:space="preserve">      付息</t>
    <phoneticPr fontId="6" type="noConversion"/>
  </si>
  <si>
    <t>年末本息余额</t>
  </si>
  <si>
    <t>*</t>
    <phoneticPr fontId="6" type="noConversion"/>
  </si>
  <si>
    <t>利息备付率（ICR）</t>
    <phoneticPr fontId="6" type="noConversion"/>
  </si>
  <si>
    <t>偿债备付率（DSCR）</t>
    <phoneticPr fontId="6" type="noConversion"/>
  </si>
  <si>
    <t>总投资(测算内数值）</t>
    <phoneticPr fontId="6" type="noConversion"/>
  </si>
  <si>
    <t>单价（元）</t>
    <phoneticPr fontId="6" type="noConversion"/>
  </si>
  <si>
    <t>收入</t>
    <phoneticPr fontId="6" type="noConversion"/>
  </si>
  <si>
    <t>使用者付费</t>
    <phoneticPr fontId="6" type="noConversion"/>
  </si>
  <si>
    <t>项目</t>
    <phoneticPr fontId="6" type="noConversion"/>
  </si>
  <si>
    <t>一</t>
    <phoneticPr fontId="6" type="noConversion"/>
  </si>
  <si>
    <t>测算依据：</t>
    <phoneticPr fontId="3" type="noConversion"/>
  </si>
  <si>
    <t>二</t>
    <phoneticPr fontId="11" type="noConversion"/>
  </si>
  <si>
    <t>均值</t>
    <phoneticPr fontId="6" type="noConversion"/>
  </si>
  <si>
    <t>建设内容</t>
    <phoneticPr fontId="3" type="noConversion"/>
  </si>
  <si>
    <t>项    目</t>
  </si>
  <si>
    <t>指标参数</t>
  </si>
  <si>
    <t>可用性付费</t>
  </si>
  <si>
    <t>运营维护绩效付费</t>
  </si>
  <si>
    <t>使用者付费</t>
  </si>
  <si>
    <t>可行性缺口补助额</t>
    <phoneticPr fontId="6" type="noConversion"/>
  </si>
  <si>
    <t>序号</t>
    <phoneticPr fontId="11" type="noConversion"/>
  </si>
  <si>
    <t>项    目</t>
    <phoneticPr fontId="11" type="noConversion"/>
  </si>
  <si>
    <t>指标</t>
    <phoneticPr fontId="6" type="noConversion"/>
  </si>
  <si>
    <t>合计</t>
    <phoneticPr fontId="11" type="noConversion"/>
  </si>
  <si>
    <t>应缴增值税</t>
    <phoneticPr fontId="11" type="noConversion"/>
  </si>
  <si>
    <t>（一）</t>
    <phoneticPr fontId="6" type="noConversion"/>
  </si>
  <si>
    <t>销项税额</t>
    <phoneticPr fontId="11" type="noConversion"/>
  </si>
  <si>
    <t>可行性缺口补助</t>
  </si>
  <si>
    <t>进项税额</t>
    <phoneticPr fontId="11" type="noConversion"/>
  </si>
  <si>
    <t>1.2.1</t>
    <phoneticPr fontId="11" type="noConversion"/>
  </si>
  <si>
    <t>建设投资</t>
    <phoneticPr fontId="11" type="noConversion"/>
  </si>
  <si>
    <t>1.2.2</t>
    <phoneticPr fontId="11" type="noConversion"/>
  </si>
  <si>
    <t>追加投资进项税</t>
    <phoneticPr fontId="6" type="noConversion"/>
  </si>
  <si>
    <t>1.2.3</t>
    <phoneticPr fontId="6" type="noConversion"/>
  </si>
  <si>
    <t>运营成本进项税</t>
    <phoneticPr fontId="11" type="noConversion"/>
  </si>
  <si>
    <t>税金及附加</t>
    <phoneticPr fontId="11" type="noConversion"/>
  </si>
  <si>
    <t>地方水利建设基金</t>
    <phoneticPr fontId="11" type="noConversion"/>
  </si>
  <si>
    <t>四</t>
    <phoneticPr fontId="6" type="noConversion"/>
  </si>
  <si>
    <t>可抵扣进项税额-建设投资</t>
    <phoneticPr fontId="6" type="noConversion"/>
  </si>
  <si>
    <t>五</t>
    <phoneticPr fontId="6" type="noConversion"/>
  </si>
  <si>
    <t>应记增值税</t>
    <phoneticPr fontId="11" type="noConversion"/>
  </si>
  <si>
    <t>六</t>
    <phoneticPr fontId="6" type="noConversion"/>
  </si>
  <si>
    <t>增值税累计值</t>
    <phoneticPr fontId="6" type="noConversion"/>
  </si>
  <si>
    <t>项    目</t>
    <phoneticPr fontId="6" type="noConversion"/>
  </si>
  <si>
    <t>项目收入合计</t>
  </si>
  <si>
    <t>使用者付费收入</t>
    <phoneticPr fontId="6" type="noConversion"/>
  </si>
  <si>
    <t>总成本费用</t>
  </si>
  <si>
    <t>运营维护成本</t>
  </si>
  <si>
    <t>财务费用</t>
  </si>
  <si>
    <t>资产折旧/摊销</t>
  </si>
  <si>
    <t>税金及附加</t>
  </si>
  <si>
    <t>利润总额</t>
  </si>
  <si>
    <t>弥补以前年度亏损</t>
  </si>
  <si>
    <t>应纳税所得额</t>
  </si>
  <si>
    <t>所得税</t>
  </si>
  <si>
    <t>税后净利润</t>
  </si>
  <si>
    <t>累计未分配利润</t>
  </si>
  <si>
    <t>提取法定盈余公积金</t>
  </si>
  <si>
    <t>可供投资者分配利润</t>
  </si>
  <si>
    <t>息税前利润</t>
  </si>
  <si>
    <t>调整所得税</t>
    <phoneticPr fontId="6" type="noConversion"/>
  </si>
  <si>
    <r>
      <t>项目</t>
    </r>
    <r>
      <rPr>
        <b/>
        <sz val="10"/>
        <rFont val="Times New Roman"/>
        <family val="1"/>
      </rPr>
      <t/>
    </r>
    <phoneticPr fontId="11" type="noConversion"/>
  </si>
  <si>
    <t>一</t>
    <phoneticPr fontId="11" type="noConversion"/>
  </si>
  <si>
    <t>现金流入</t>
    <phoneticPr fontId="11" type="noConversion"/>
  </si>
  <si>
    <t>回收固定资产余值</t>
    <phoneticPr fontId="11" type="noConversion"/>
  </si>
  <si>
    <t>回收流动资金</t>
    <phoneticPr fontId="11" type="noConversion"/>
  </si>
  <si>
    <t>现金流出</t>
    <phoneticPr fontId="11" type="noConversion"/>
  </si>
  <si>
    <t>流动资金</t>
    <phoneticPr fontId="11" type="noConversion"/>
  </si>
  <si>
    <t>运营成本</t>
    <phoneticPr fontId="11" type="noConversion"/>
  </si>
  <si>
    <t>应交增值税</t>
    <phoneticPr fontId="6" type="noConversion"/>
  </si>
  <si>
    <t>维持运营投资</t>
    <phoneticPr fontId="6" type="noConversion"/>
  </si>
  <si>
    <t>三</t>
    <phoneticPr fontId="11" type="noConversion"/>
  </si>
  <si>
    <t>税前净现金流量</t>
    <phoneticPr fontId="11" type="noConversion"/>
  </si>
  <si>
    <t>四</t>
    <phoneticPr fontId="11" type="noConversion"/>
  </si>
  <si>
    <t>累计税前净现金流量</t>
    <phoneticPr fontId="11" type="noConversion"/>
  </si>
  <si>
    <t>五</t>
    <phoneticPr fontId="11" type="noConversion"/>
  </si>
  <si>
    <t>调整所得税</t>
    <phoneticPr fontId="11" type="noConversion"/>
  </si>
  <si>
    <t>六</t>
    <phoneticPr fontId="11" type="noConversion"/>
  </si>
  <si>
    <t>税后净现金流量</t>
    <phoneticPr fontId="11" type="noConversion"/>
  </si>
  <si>
    <t>七</t>
    <phoneticPr fontId="11" type="noConversion"/>
  </si>
  <si>
    <t>累计税后净现金流量</t>
    <phoneticPr fontId="11" type="noConversion"/>
  </si>
  <si>
    <t>所得税前计算指标</t>
  </si>
  <si>
    <t>所得税后计算指标</t>
  </si>
  <si>
    <t>项目投资财务内部收益率=</t>
  </si>
  <si>
    <t>投资回收期=</t>
    <phoneticPr fontId="6" type="noConversion"/>
  </si>
  <si>
    <t>所得税前投资回收期</t>
    <phoneticPr fontId="11" type="noConversion"/>
  </si>
  <si>
    <t>所得税后投资回收期</t>
    <phoneticPr fontId="11" type="noConversion"/>
  </si>
  <si>
    <t>回收固定资产余值</t>
  </si>
  <si>
    <t>回收流动资金</t>
  </si>
  <si>
    <t>项目资本金</t>
    <phoneticPr fontId="11" type="noConversion"/>
  </si>
  <si>
    <t>借款本金偿还</t>
    <phoneticPr fontId="11" type="noConversion"/>
  </si>
  <si>
    <t>借款利息支付</t>
    <phoneticPr fontId="11" type="noConversion"/>
  </si>
  <si>
    <t>运营维护成本</t>
    <phoneticPr fontId="11" type="noConversion"/>
  </si>
  <si>
    <t>应缴增值税</t>
    <phoneticPr fontId="6" type="noConversion"/>
  </si>
  <si>
    <t>所得税</t>
    <phoneticPr fontId="11" type="noConversion"/>
  </si>
  <si>
    <t>三</t>
    <phoneticPr fontId="6" type="noConversion"/>
  </si>
  <si>
    <t>税前当期净现金流量</t>
    <phoneticPr fontId="6" type="noConversion"/>
  </si>
  <si>
    <t>税前累计现金净流量</t>
  </si>
  <si>
    <t>税后当期净现金流量</t>
    <phoneticPr fontId="11" type="noConversion"/>
  </si>
  <si>
    <t>税后累计净现金流量</t>
    <phoneticPr fontId="11" type="noConversion"/>
  </si>
  <si>
    <t>资本金税后内部收益率</t>
    <phoneticPr fontId="6" type="noConversion"/>
  </si>
  <si>
    <t>经营活动净现金流量</t>
    <phoneticPr fontId="6" type="noConversion"/>
  </si>
  <si>
    <t>现金流入</t>
    <phoneticPr fontId="6" type="noConversion"/>
  </si>
  <si>
    <t>营业收入</t>
    <phoneticPr fontId="6" type="noConversion"/>
  </si>
  <si>
    <t>收到的税费返还</t>
    <phoneticPr fontId="6" type="noConversion"/>
  </si>
  <si>
    <t>收到其他与经营活动有关现金</t>
    <phoneticPr fontId="6" type="noConversion"/>
  </si>
  <si>
    <t>现金流出</t>
    <phoneticPr fontId="6" type="noConversion"/>
  </si>
  <si>
    <t>营业成本</t>
    <phoneticPr fontId="6" type="noConversion"/>
  </si>
  <si>
    <t>支付的各项税费</t>
    <phoneticPr fontId="6" type="noConversion"/>
  </si>
  <si>
    <t>支付其他与经营活动有关的现金</t>
    <phoneticPr fontId="6" type="noConversion"/>
  </si>
  <si>
    <t>二</t>
    <phoneticPr fontId="6" type="noConversion"/>
  </si>
  <si>
    <t>投资活动净现金流量</t>
    <phoneticPr fontId="6" type="noConversion"/>
  </si>
  <si>
    <t>回收投资收到的现金</t>
    <phoneticPr fontId="6" type="noConversion"/>
  </si>
  <si>
    <t>取得投资收益收到的现金</t>
    <phoneticPr fontId="6" type="noConversion"/>
  </si>
  <si>
    <t>建设投资</t>
    <phoneticPr fontId="6" type="noConversion"/>
  </si>
  <si>
    <t>铺底流动资金</t>
    <phoneticPr fontId="6" type="noConversion"/>
  </si>
  <si>
    <t>其他流出</t>
    <phoneticPr fontId="6" type="noConversion"/>
  </si>
  <si>
    <t>筹资活动净现金流量</t>
    <phoneticPr fontId="6" type="noConversion"/>
  </si>
  <si>
    <t>项目资本金投入</t>
    <phoneticPr fontId="6" type="noConversion"/>
  </si>
  <si>
    <t>专项补助资金投入</t>
    <phoneticPr fontId="6" type="noConversion"/>
  </si>
  <si>
    <t>建设投资借款</t>
    <phoneticPr fontId="6" type="noConversion"/>
  </si>
  <si>
    <t>短期借款</t>
    <phoneticPr fontId="6" type="noConversion"/>
  </si>
  <si>
    <t>各种利息支付</t>
    <phoneticPr fontId="6" type="noConversion"/>
  </si>
  <si>
    <t>偿还债务本金</t>
    <phoneticPr fontId="6" type="noConversion"/>
  </si>
  <si>
    <t>应付利润</t>
    <phoneticPr fontId="6" type="noConversion"/>
  </si>
  <si>
    <t>净现金流量</t>
    <phoneticPr fontId="6" type="noConversion"/>
  </si>
  <si>
    <t>累计盈余资金</t>
    <phoneticPr fontId="6" type="noConversion"/>
  </si>
  <si>
    <t>资产</t>
  </si>
  <si>
    <t>流动资产合计</t>
  </si>
  <si>
    <t>1.1.1</t>
  </si>
  <si>
    <t>贷币资金</t>
  </si>
  <si>
    <t>1.1.2</t>
  </si>
  <si>
    <t>流动资金</t>
  </si>
  <si>
    <t>在建工程</t>
  </si>
  <si>
    <t>资产净值</t>
  </si>
  <si>
    <t>负债及所有者权益</t>
  </si>
  <si>
    <t>流动负债</t>
  </si>
  <si>
    <t>2.1.1</t>
    <phoneticPr fontId="6" type="noConversion"/>
  </si>
  <si>
    <t>2.1.2</t>
    <phoneticPr fontId="6" type="noConversion"/>
  </si>
  <si>
    <t>应交税费</t>
    <phoneticPr fontId="6" type="noConversion"/>
  </si>
  <si>
    <t>建设投资借款</t>
  </si>
  <si>
    <t>2.2.1</t>
  </si>
  <si>
    <t>银行借款</t>
  </si>
  <si>
    <t>流动资金借款</t>
  </si>
  <si>
    <t>负债小计</t>
  </si>
  <si>
    <t>所有者权益</t>
  </si>
  <si>
    <t>2.5.1</t>
  </si>
  <si>
    <t>资本金</t>
  </si>
  <si>
    <t>2.5.2</t>
  </si>
  <si>
    <t>资本公积</t>
  </si>
  <si>
    <t>2.5.3</t>
  </si>
  <si>
    <t>资产=负债+所有者权益</t>
    <phoneticPr fontId="6" type="noConversion"/>
  </si>
  <si>
    <t>资产负债率</t>
    <phoneticPr fontId="6" type="noConversion"/>
  </si>
  <si>
    <t>实分利润</t>
    <phoneticPr fontId="6" type="noConversion"/>
  </si>
  <si>
    <t>回收权益资金</t>
    <phoneticPr fontId="6" type="noConversion"/>
  </si>
  <si>
    <t>实缴资本</t>
    <phoneticPr fontId="6" type="noConversion"/>
  </si>
  <si>
    <t>计算指标：</t>
    <phoneticPr fontId="6" type="noConversion"/>
  </si>
  <si>
    <t>社会资本方财务内部收益率（IRR）=</t>
    <phoneticPr fontId="6" type="noConversion"/>
  </si>
  <si>
    <t>分类</t>
    <phoneticPr fontId="11" type="noConversion"/>
  </si>
  <si>
    <t>建设成本</t>
    <phoneticPr fontId="11" type="noConversion"/>
  </si>
  <si>
    <t>资本性收入</t>
    <phoneticPr fontId="11" type="noConversion"/>
  </si>
  <si>
    <t>第三方收入</t>
    <phoneticPr fontId="11" type="noConversion"/>
  </si>
  <si>
    <t>其他成本</t>
    <phoneticPr fontId="11" type="noConversion"/>
  </si>
  <si>
    <t>竞争性中立调整值</t>
    <phoneticPr fontId="11" type="noConversion"/>
  </si>
  <si>
    <t>增值税</t>
    <phoneticPr fontId="11" type="noConversion"/>
  </si>
  <si>
    <t>附加税</t>
    <phoneticPr fontId="11" type="noConversion"/>
  </si>
  <si>
    <t>项目全部风险成本</t>
    <phoneticPr fontId="6" type="noConversion"/>
  </si>
  <si>
    <t>可转移风险承担成本</t>
    <phoneticPr fontId="11" type="noConversion"/>
  </si>
  <si>
    <t>自留风险承担成本</t>
    <phoneticPr fontId="11" type="noConversion"/>
  </si>
  <si>
    <t>PSC净值(4.9%)=</t>
    <phoneticPr fontId="6" type="noConversion"/>
  </si>
  <si>
    <t>政府股权投资</t>
    <phoneticPr fontId="11" type="noConversion"/>
  </si>
  <si>
    <t>运营补贴</t>
    <phoneticPr fontId="11" type="noConversion"/>
  </si>
  <si>
    <t>风险支出</t>
    <phoneticPr fontId="11" type="noConversion"/>
  </si>
  <si>
    <t>四</t>
  </si>
  <si>
    <t>配套投入</t>
    <phoneticPr fontId="6" type="noConversion"/>
  </si>
  <si>
    <t>五</t>
  </si>
  <si>
    <t>PPP值</t>
    <phoneticPr fontId="11" type="noConversion"/>
  </si>
  <si>
    <t>PPP净值(4.9%)=</t>
    <phoneticPr fontId="6" type="noConversion"/>
  </si>
  <si>
    <t>PSC值</t>
    <phoneticPr fontId="6" type="noConversion"/>
  </si>
  <si>
    <t>参照项目的建设和运营维护净成本（万元）</t>
    <phoneticPr fontId="6" type="noConversion"/>
  </si>
  <si>
    <t>建设成本（万元）</t>
    <phoneticPr fontId="6" type="noConversion"/>
  </si>
  <si>
    <t>资本性收入（万元）</t>
    <phoneticPr fontId="6" type="noConversion"/>
  </si>
  <si>
    <t>运营成本（万元）</t>
    <phoneticPr fontId="6" type="noConversion"/>
  </si>
  <si>
    <t>第三方收入（万元）</t>
    <phoneticPr fontId="6" type="noConversion"/>
  </si>
  <si>
    <t>折现率（%）</t>
    <phoneticPr fontId="6" type="noConversion"/>
  </si>
  <si>
    <t>竞争性中立调整值（万元）</t>
    <phoneticPr fontId="6" type="noConversion"/>
  </si>
  <si>
    <t>项目全部风险成本（万元）</t>
    <phoneticPr fontId="6" type="noConversion"/>
  </si>
  <si>
    <t>可转移风险承担成本（万元）</t>
    <phoneticPr fontId="6" type="noConversion"/>
  </si>
  <si>
    <t>自留风险承担成本（万元）</t>
    <phoneticPr fontId="6" type="noConversion"/>
  </si>
  <si>
    <t>风险分担方法</t>
    <phoneticPr fontId="6" type="noConversion"/>
  </si>
  <si>
    <t>合计（万元）</t>
    <phoneticPr fontId="6" type="noConversion"/>
  </si>
  <si>
    <t>PPP值（万元）</t>
    <phoneticPr fontId="6" type="noConversion"/>
  </si>
  <si>
    <t>政府股权投资（万元）</t>
    <phoneticPr fontId="6" type="noConversion"/>
  </si>
  <si>
    <t>运营补贴（万元）</t>
    <phoneticPr fontId="6" type="noConversion"/>
  </si>
  <si>
    <t>风险支出（万元）</t>
    <phoneticPr fontId="6" type="noConversion"/>
  </si>
  <si>
    <t>配套投入（万元）</t>
    <phoneticPr fontId="6" type="noConversion"/>
  </si>
  <si>
    <t>非折现值</t>
    <phoneticPr fontId="6" type="noConversion"/>
  </si>
  <si>
    <t>折现值</t>
    <phoneticPr fontId="6" type="noConversion"/>
  </si>
  <si>
    <t>VFM值（万元）</t>
    <phoneticPr fontId="6" type="noConversion"/>
  </si>
  <si>
    <t>物有所值指数（%）</t>
    <phoneticPr fontId="6" type="noConversion"/>
  </si>
  <si>
    <t>政府付费补贴</t>
    <phoneticPr fontId="11" type="noConversion"/>
  </si>
  <si>
    <t>本项目支出占比</t>
    <phoneticPr fontId="11" type="noConversion"/>
  </si>
  <si>
    <t>财政支出责任</t>
    <phoneticPr fontId="6" type="noConversion"/>
  </si>
  <si>
    <t>年度</t>
    <phoneticPr fontId="6" type="noConversion"/>
  </si>
  <si>
    <t>支出阶段</t>
    <phoneticPr fontId="6" type="noConversion"/>
  </si>
  <si>
    <t>股权投资支出责任
（万元）</t>
    <phoneticPr fontId="6" type="noConversion"/>
  </si>
  <si>
    <t>运营补贴支出责任
（万元）</t>
    <phoneticPr fontId="6" type="noConversion"/>
  </si>
  <si>
    <t>风险承担支出责任
（万元）</t>
    <phoneticPr fontId="6" type="noConversion"/>
  </si>
  <si>
    <t>配套投入支出责任
（万元）</t>
    <phoneticPr fontId="6" type="noConversion"/>
  </si>
  <si>
    <t>小计
（万元）</t>
    <phoneticPr fontId="6" type="noConversion"/>
  </si>
  <si>
    <t>运营期</t>
    <phoneticPr fontId="6" type="noConversion"/>
  </si>
  <si>
    <t>财政支出责任占比情况</t>
    <phoneticPr fontId="6" type="noConversion"/>
  </si>
  <si>
    <t>A-本项目财政承受能力论证测算的财政支出责任小计（万元）（B+C+D)</t>
    <phoneticPr fontId="6" type="noConversion"/>
  </si>
  <si>
    <t>B-其中：一般公共预算支出数额（万元）</t>
    <phoneticPr fontId="6" type="noConversion"/>
  </si>
  <si>
    <t>C-其中：政府性基金预算支出数额（万元）</t>
    <phoneticPr fontId="6" type="noConversion"/>
  </si>
  <si>
    <t>政府性基金预算支出科目</t>
    <phoneticPr fontId="6" type="noConversion"/>
  </si>
  <si>
    <t>D-其中：国有资本经营预算支出数额（万元）</t>
    <phoneticPr fontId="6" type="noConversion"/>
  </si>
  <si>
    <t>E-本级已有管理库项目一般公共预算支出数额（万元）</t>
    <phoneticPr fontId="6" type="noConversion"/>
  </si>
  <si>
    <t>F-承担跨本级已入管理库项目一般公共预算支出数额（万元）</t>
    <phoneticPr fontId="6" type="noConversion"/>
  </si>
  <si>
    <t>G-本级年度一般公共预算支出数额（万元）</t>
    <phoneticPr fontId="6" type="noConversion"/>
  </si>
  <si>
    <t>污水管网（米）</t>
    <phoneticPr fontId="3" type="noConversion"/>
  </si>
  <si>
    <t>雨水管网（米）</t>
    <phoneticPr fontId="3" type="noConversion"/>
  </si>
  <si>
    <t>生活给水管网（米）</t>
    <phoneticPr fontId="3" type="noConversion"/>
  </si>
  <si>
    <t>工业给水管网（米）</t>
    <phoneticPr fontId="3" type="noConversion"/>
  </si>
  <si>
    <t>道路清扫及管网养护</t>
  </si>
  <si>
    <t>项目资本金现金流量表</t>
    <phoneticPr fontId="11" type="noConversion"/>
  </si>
  <si>
    <t>利润与利润分配表</t>
    <phoneticPr fontId="11" type="noConversion"/>
  </si>
  <si>
    <t>备注</t>
    <phoneticPr fontId="11" type="noConversion"/>
  </si>
  <si>
    <t>科目</t>
    <phoneticPr fontId="11" type="noConversion"/>
  </si>
  <si>
    <t>金额</t>
    <phoneticPr fontId="11" type="noConversion"/>
  </si>
  <si>
    <t>∑税金附加</t>
    <phoneticPr fontId="11" type="noConversion"/>
  </si>
  <si>
    <t>∑所得税</t>
    <phoneticPr fontId="11" type="noConversion"/>
  </si>
  <si>
    <t>∑营业收入(含税价)</t>
    <phoneticPr fontId="11" type="noConversion"/>
  </si>
  <si>
    <t>∑营业收入(不含税价)</t>
    <phoneticPr fontId="11" type="noConversion"/>
  </si>
  <si>
    <t>增值税销项税额</t>
    <phoneticPr fontId="13" type="noConversion"/>
  </si>
  <si>
    <t>∑运营维护成本</t>
    <phoneticPr fontId="11" type="noConversion"/>
  </si>
  <si>
    <t>∑(总成本费用-折旧、摊销)</t>
    <phoneticPr fontId="11" type="noConversion"/>
  </si>
  <si>
    <t>运营维护成本进项税额</t>
    <phoneticPr fontId="13" type="noConversion"/>
  </si>
  <si>
    <t>∑利息支出</t>
    <phoneticPr fontId="11" type="noConversion"/>
  </si>
  <si>
    <t>∑(资本金+本金偿还-回收固定资产余值-回收流动资金)</t>
    <phoneticPr fontId="11" type="noConversion"/>
  </si>
  <si>
    <t>∑折旧、摊销</t>
    <phoneticPr fontId="11" type="noConversion"/>
  </si>
  <si>
    <t>可抵扣进项税额—建设投资</t>
    <phoneticPr fontId="13" type="noConversion"/>
  </si>
  <si>
    <t>未抵扣进项税额</t>
    <phoneticPr fontId="6" type="noConversion"/>
  </si>
  <si>
    <t>增值税</t>
    <phoneticPr fontId="13" type="noConversion"/>
  </si>
  <si>
    <t>∑净现金流量</t>
    <phoneticPr fontId="11" type="noConversion"/>
  </si>
  <si>
    <t>∑净利润</t>
    <phoneticPr fontId="11" type="noConversion"/>
  </si>
  <si>
    <t>项目投资财务内部收益率=</t>
    <phoneticPr fontId="3" type="noConversion"/>
  </si>
  <si>
    <t>资产折旧/摊销估算表</t>
    <phoneticPr fontId="6" type="noConversion"/>
  </si>
  <si>
    <t>资产原值</t>
  </si>
  <si>
    <t>当期摊销/折旧额</t>
    <phoneticPr fontId="6" type="noConversion"/>
  </si>
  <si>
    <t>建设期利息折旧/摊销估算表</t>
    <phoneticPr fontId="6" type="noConversion"/>
  </si>
  <si>
    <t>当期摊销/折旧额</t>
  </si>
  <si>
    <t>资产折旧/摊销估算表（不含政府本金）</t>
    <phoneticPr fontId="6" type="noConversion"/>
  </si>
  <si>
    <r>
      <rPr>
        <b/>
        <sz val="14"/>
        <color indexed="8"/>
        <rFont val="宋体"/>
        <family val="3"/>
        <charset val="134"/>
      </rPr>
      <t>序号</t>
    </r>
    <r>
      <rPr>
        <b/>
        <sz val="14"/>
        <rFont val="宋体"/>
        <family val="3"/>
        <charset val="134"/>
      </rPr>
      <t xml:space="preserve"> </t>
    </r>
    <phoneticPr fontId="6" type="noConversion"/>
  </si>
  <si>
    <r>
      <rPr>
        <b/>
        <sz val="14"/>
        <color theme="1"/>
        <rFont val="宋体"/>
        <family val="3"/>
        <charset val="134"/>
      </rPr>
      <t>初始PSC值</t>
    </r>
    <phoneticPr fontId="11" type="noConversion"/>
  </si>
  <si>
    <r>
      <t>PSC</t>
    </r>
    <r>
      <rPr>
        <sz val="14"/>
        <color theme="1"/>
        <rFont val="宋体"/>
        <family val="3"/>
        <charset val="134"/>
      </rPr>
      <t>值</t>
    </r>
    <phoneticPr fontId="11" type="noConversion"/>
  </si>
  <si>
    <t>项目</t>
    <phoneticPr fontId="11" type="noConversion"/>
  </si>
  <si>
    <t>项目财政支出</t>
  </si>
  <si>
    <t>股权投资支出</t>
  </si>
  <si>
    <t>风险承担支出</t>
  </si>
  <si>
    <t>配套投入支出</t>
  </si>
  <si>
    <t>地方财政支出预算</t>
  </si>
  <si>
    <t>本级财政所有支出占比</t>
    <phoneticPr fontId="3" type="noConversion"/>
  </si>
  <si>
    <t>本级财政其他项目支出责任</t>
    <phoneticPr fontId="11" type="noConversion"/>
  </si>
  <si>
    <t>所得税额</t>
    <phoneticPr fontId="3" type="noConversion"/>
  </si>
  <si>
    <t>提取法定盈余公积金</t>
    <phoneticPr fontId="3" type="noConversion"/>
  </si>
  <si>
    <t>风险承担支出</t>
    <phoneticPr fontId="3" type="noConversion"/>
  </si>
  <si>
    <t>单位：万元</t>
  </si>
  <si>
    <t>经九路道路红线40米宽，道路、污水、雨水、生活给水、工业给水、各长度约为1400米。</t>
  </si>
  <si>
    <t>双创园区标准化厂房（一期）项目</t>
    <phoneticPr fontId="3" type="noConversion"/>
  </si>
  <si>
    <t>双创园区标准化厂房（二期）项目</t>
    <phoneticPr fontId="3" type="noConversion"/>
  </si>
  <si>
    <t>工程总投资</t>
    <phoneticPr fontId="3" type="noConversion"/>
  </si>
  <si>
    <t>土地费</t>
    <phoneticPr fontId="3" type="noConversion"/>
  </si>
  <si>
    <t>九原工业园区综合开发（一期）建设工程PPP项目</t>
    <phoneticPr fontId="3" type="noConversion"/>
  </si>
  <si>
    <t>化工产业板块污水泵站及管网工程</t>
    <phoneticPr fontId="3" type="noConversion"/>
  </si>
  <si>
    <t>新规划支二路道路及管网建设工程</t>
    <phoneticPr fontId="3" type="noConversion"/>
  </si>
  <si>
    <t>新规划支路道路及管网建设工程</t>
    <phoneticPr fontId="3" type="noConversion"/>
  </si>
  <si>
    <t>设备及工器具购置费</t>
    <phoneticPr fontId="3" type="noConversion"/>
  </si>
  <si>
    <t>建筑安装工程费</t>
    <phoneticPr fontId="3" type="noConversion"/>
  </si>
  <si>
    <t>估算总投资(一+二）</t>
    <phoneticPr fontId="3" type="noConversion"/>
  </si>
  <si>
    <t>汇总</t>
    <phoneticPr fontId="3" type="noConversion"/>
  </si>
  <si>
    <t>建筑安装工程费</t>
    <phoneticPr fontId="6" type="noConversion"/>
  </si>
  <si>
    <t>核算</t>
    <phoneticPr fontId="3" type="noConversion"/>
  </si>
  <si>
    <t>投资估算</t>
    <phoneticPr fontId="3" type="noConversion"/>
  </si>
  <si>
    <t>估算总投资</t>
    <phoneticPr fontId="3" type="noConversion"/>
  </si>
  <si>
    <t>照明设备</t>
    <phoneticPr fontId="3" type="noConversion"/>
  </si>
  <si>
    <t>备注</t>
    <phoneticPr fontId="3" type="noConversion"/>
  </si>
  <si>
    <t>本项目占地 总面积 91333㎡ ，总建筑面积 70000㎡ 其中 标准化 厂房面积 64921 ㎡ 办公楼面积 5079 ㎡</t>
    <phoneticPr fontId="3" type="noConversion"/>
  </si>
  <si>
    <t>本项目占地 总面积 66667㎡ ，总建筑面积 50000㎡ 其中 标准化 厂房面积 45442 ㎡ 办公楼面积 4558 ㎡ 。</t>
    <phoneticPr fontId="3" type="noConversion"/>
  </si>
  <si>
    <t>项目风险成本比例</t>
    <phoneticPr fontId="3" type="noConversion"/>
  </si>
  <si>
    <t>可转移风险承担比例</t>
    <phoneticPr fontId="3" type="noConversion"/>
  </si>
  <si>
    <t>自留风险承担比例</t>
    <phoneticPr fontId="3" type="noConversion"/>
  </si>
  <si>
    <t>化工产业板块雨水泵站及管网工程</t>
    <phoneticPr fontId="3" type="noConversion"/>
  </si>
  <si>
    <t>经九路（纬四路-纬九路）道路管网工程</t>
    <phoneticPr fontId="3" type="noConversion"/>
  </si>
  <si>
    <t>新规划支路道路红线宽30米，道路全长约2000米，污水、雨水、生活给水、工业给水各长度约2000米。</t>
    <phoneticPr fontId="3" type="noConversion"/>
  </si>
  <si>
    <t>新规划支二路道路红线宽30米，道路全长约1300米，污水、雨水、生活给水、工业给水各长度约1300米。</t>
    <phoneticPr fontId="3" type="noConversion"/>
  </si>
  <si>
    <t>厂房面积</t>
    <phoneticPr fontId="3" type="noConversion"/>
  </si>
  <si>
    <t>办公楼面积</t>
    <phoneticPr fontId="3" type="noConversion"/>
  </si>
  <si>
    <t>可研、立项情况</t>
    <phoneticPr fontId="3" type="noConversion"/>
  </si>
  <si>
    <t>是否具有收益性</t>
    <phoneticPr fontId="3" type="noConversion"/>
  </si>
  <si>
    <t>已完成</t>
    <phoneticPr fontId="3" type="noConversion"/>
  </si>
  <si>
    <t>否</t>
    <phoneticPr fontId="3" type="noConversion"/>
  </si>
  <si>
    <t>是</t>
    <phoneticPr fontId="3" type="noConversion"/>
  </si>
  <si>
    <t>新建一座特勤消防站，占地面积约15 亩，总建筑面积为4214 ㎡，其中业务用房面积1950 ㎡，业务附属用房面积998 ㎡，辅助用房面积706㎡，配套公辅用房面积506 ㎡</t>
    <phoneticPr fontId="3" type="noConversion"/>
  </si>
  <si>
    <t>占比（B+E+F+)/G(%)</t>
    <phoneticPr fontId="6" type="noConversion"/>
  </si>
  <si>
    <t>特勤消防站项目</t>
    <phoneticPr fontId="3" type="noConversion"/>
  </si>
  <si>
    <t>LPR</t>
    <phoneticPr fontId="13" type="noConversion"/>
  </si>
  <si>
    <t>浮动</t>
    <phoneticPr fontId="13" type="noConversion"/>
  </si>
  <si>
    <t>利率</t>
    <phoneticPr fontId="13" type="noConversion"/>
  </si>
  <si>
    <t>园区轴承产业园标准化厂房（一期）项目</t>
    <phoneticPr fontId="3" type="noConversion"/>
  </si>
  <si>
    <t>出资比例</t>
    <phoneticPr fontId="3" type="noConversion"/>
  </si>
  <si>
    <t>参考指标</t>
    <phoneticPr fontId="3" type="noConversion"/>
  </si>
  <si>
    <t>投产率</t>
    <phoneticPr fontId="3" type="noConversion"/>
  </si>
  <si>
    <t>第三年</t>
    <phoneticPr fontId="3" type="noConversion"/>
  </si>
  <si>
    <t>分类</t>
    <phoneticPr fontId="3" type="noConversion"/>
  </si>
  <si>
    <t>建设运营净成本</t>
    <phoneticPr fontId="3" type="noConversion"/>
  </si>
  <si>
    <t>建设成本</t>
    <phoneticPr fontId="3" type="noConversion"/>
  </si>
  <si>
    <t>运营成本</t>
    <phoneticPr fontId="3" type="noConversion"/>
  </si>
  <si>
    <t>项目全部风险成本</t>
    <phoneticPr fontId="3" type="noConversion"/>
  </si>
  <si>
    <t>可转移风险承担成本</t>
    <phoneticPr fontId="3" type="noConversion"/>
  </si>
  <si>
    <t>自留风险承担成本</t>
    <phoneticPr fontId="3" type="noConversion"/>
  </si>
  <si>
    <t>检验</t>
    <phoneticPr fontId="3" type="noConversion"/>
  </si>
  <si>
    <t>建筑面积（平方米）</t>
    <phoneticPr fontId="3" type="noConversion"/>
  </si>
  <si>
    <t>运营期前三年投产率</t>
    <phoneticPr fontId="3" type="noConversion"/>
  </si>
  <si>
    <t>计算值</t>
    <phoneticPr fontId="3" type="noConversion"/>
  </si>
  <si>
    <t>总投资均值</t>
    <phoneticPr fontId="6" type="noConversion"/>
  </si>
  <si>
    <t>道路设施</t>
    <phoneticPr fontId="3" type="noConversion"/>
  </si>
  <si>
    <t>长度（m）</t>
    <phoneticPr fontId="3" type="noConversion"/>
  </si>
  <si>
    <t>硬化路面（㎡）</t>
    <phoneticPr fontId="3" type="noConversion"/>
  </si>
  <si>
    <t>绿化(㎡)</t>
    <phoneticPr fontId="3" type="noConversion"/>
  </si>
  <si>
    <t>排水设施</t>
    <phoneticPr fontId="3" type="noConversion"/>
  </si>
  <si>
    <t>检查井</t>
    <phoneticPr fontId="3" type="noConversion"/>
  </si>
  <si>
    <t>泵站</t>
    <phoneticPr fontId="3" type="noConversion"/>
  </si>
  <si>
    <t>泵站规模为1m3/s以下（含1m3/s）</t>
    <phoneticPr fontId="3" type="noConversion"/>
  </si>
  <si>
    <t>侧石</t>
    <phoneticPr fontId="3" type="noConversion"/>
  </si>
  <si>
    <t>给水管线DN300、雨污水管线DN600</t>
    <phoneticPr fontId="3" type="noConversion"/>
  </si>
  <si>
    <t>绿化宽度</t>
    <phoneticPr fontId="3" type="noConversion"/>
  </si>
  <si>
    <t>人行道（㎡）</t>
    <phoneticPr fontId="3" type="noConversion"/>
  </si>
  <si>
    <t>红线</t>
    <phoneticPr fontId="3" type="noConversion"/>
  </si>
  <si>
    <t>行道树（棵）</t>
    <phoneticPr fontId="3" type="noConversion"/>
  </si>
  <si>
    <t>照明设备90w，平均日照10小时。两侧绿化维护采用当地市政洒水车</t>
    <phoneticPr fontId="3" type="noConversion"/>
  </si>
  <si>
    <t>照明设备240w，平均日照10小时。</t>
    <phoneticPr fontId="3" type="noConversion"/>
  </si>
  <si>
    <t>管网设施</t>
    <phoneticPr fontId="3" type="noConversion"/>
  </si>
  <si>
    <t>道路宽度</t>
    <phoneticPr fontId="3" type="noConversion"/>
  </si>
  <si>
    <t>人行道宽度</t>
    <phoneticPr fontId="3" type="noConversion"/>
  </si>
  <si>
    <t>调价涨幅率（每三年一调整）</t>
    <phoneticPr fontId="3" type="noConversion"/>
  </si>
  <si>
    <t>发起时间</t>
  </si>
  <si>
    <t>合作期限（年）</t>
  </si>
  <si>
    <t>建设期（年）</t>
  </si>
  <si>
    <t>运营期（年）</t>
  </si>
  <si>
    <t>云南省红河州河口县中国（云南）自由贸易试验区红河片区坝洒监管区建设PPP项目</t>
  </si>
  <si>
    <t>北部湾海铁联运皇马现代综合物流园区配套基础设施PPP项目</t>
  </si>
  <si>
    <t>广西壮族自治区百色市田林县林材产业高质量发展集中区政府和社会资本合作（PPP）项目</t>
  </si>
  <si>
    <t>宁德锂电车里湾园区及配套基础设施PPP项目</t>
  </si>
  <si>
    <t>钦州高新区金石湖片区标准厂房及配套基础设施项目</t>
  </si>
  <si>
    <t>河池环江工业园区基础设施配套建设项目（一期）</t>
  </si>
  <si>
    <t>西部（重庆）科学城北碚高新产业园综合开发项目（一期）</t>
  </si>
  <si>
    <t>广西壮族自治区钦州市钦南区那丽产业园标准厂房及配套设施工程PPP项目</t>
  </si>
  <si>
    <t>贵阳市化学原料药产业园园区服务配套设施建设PPP项目</t>
  </si>
  <si>
    <t>山西省大同市新荣经济技术开发区园区建设（二期）PPP项目</t>
  </si>
  <si>
    <t>广西钦州市浦北县工业园区基础设施建设PPP项目</t>
  </si>
  <si>
    <t>辽宁省锦州市黑山县新型城镇化PPP项目</t>
    <phoneticPr fontId="3" type="noConversion"/>
  </si>
  <si>
    <t>广西百色市隆林县桂黔（隆林）经济合作产业园区林产品加工循环扶贫产业园PPP项目</t>
    <phoneticPr fontId="3" type="noConversion"/>
  </si>
  <si>
    <t>安徽省亳州涡阳化工园区基础设施建设工程PPP项目</t>
    <phoneticPr fontId="3" type="noConversion"/>
  </si>
  <si>
    <t>山西省长治市上党区上党经开区基础设施及标准厂房PPP项目</t>
    <phoneticPr fontId="3" type="noConversion"/>
  </si>
  <si>
    <t>单位</t>
    <phoneticPr fontId="3" type="noConversion"/>
  </si>
  <si>
    <t>道路养护</t>
    <phoneticPr fontId="3" type="noConversion"/>
  </si>
  <si>
    <t>绿化养护</t>
    <phoneticPr fontId="3" type="noConversion"/>
  </si>
  <si>
    <t>管网养护</t>
    <phoneticPr fontId="3" type="noConversion"/>
  </si>
  <si>
    <t>元/平方米</t>
    <phoneticPr fontId="3" type="noConversion"/>
  </si>
  <si>
    <t>元/米</t>
    <phoneticPr fontId="3" type="noConversion"/>
  </si>
  <si>
    <t>管理费</t>
    <phoneticPr fontId="3" type="noConversion"/>
  </si>
  <si>
    <t>按运营维护成本的20%计取</t>
    <phoneticPr fontId="3" type="noConversion"/>
  </si>
  <si>
    <t>道路宽度（米）</t>
    <phoneticPr fontId="3" type="noConversion"/>
  </si>
  <si>
    <t>道路长度（米）</t>
    <phoneticPr fontId="3" type="noConversion"/>
  </si>
  <si>
    <t>道路面积（平方米）</t>
    <phoneticPr fontId="3" type="noConversion"/>
  </si>
  <si>
    <t>管道（米）</t>
    <phoneticPr fontId="3" type="noConversion"/>
  </si>
  <si>
    <t>泵站（座）</t>
    <phoneticPr fontId="3" type="noConversion"/>
  </si>
  <si>
    <t>绿化面积（平方米）</t>
    <phoneticPr fontId="3" type="noConversion"/>
  </si>
  <si>
    <t>道路养护</t>
    <phoneticPr fontId="6" type="noConversion"/>
  </si>
  <si>
    <t>项目名称</t>
    <phoneticPr fontId="6" type="noConversion"/>
  </si>
  <si>
    <t>单价（元/平方米）</t>
    <phoneticPr fontId="6" type="noConversion"/>
  </si>
  <si>
    <t>赤峰市松北新城棚户区改造英金路、松一街道路绿化、部分街路行道树工程及北一街、广场路北段道路工程</t>
    <phoneticPr fontId="6" type="noConversion"/>
  </si>
  <si>
    <t>莒州路等31条道路建设及改造工程PPP项目</t>
    <phoneticPr fontId="6" type="noConversion"/>
  </si>
  <si>
    <t>赤峰商贸物流城五里岔路、兴业路等6条道路和绿化以及1条支路工程PPP项目</t>
    <phoneticPr fontId="6" type="noConversion"/>
  </si>
  <si>
    <t>绿化养护</t>
    <phoneticPr fontId="6" type="noConversion"/>
  </si>
  <si>
    <t>额济纳旗城市道路及景观节点建设项目</t>
    <phoneticPr fontId="6" type="noConversion"/>
  </si>
  <si>
    <t>中标值</t>
    <phoneticPr fontId="6" type="noConversion"/>
  </si>
  <si>
    <t>面积</t>
    <phoneticPr fontId="6" type="noConversion"/>
  </si>
  <si>
    <t>折合单价</t>
    <phoneticPr fontId="6" type="noConversion"/>
  </si>
  <si>
    <t>包头市园林绿化管理局市本级部分道路绿化带和小游园环境卫生保洁服务</t>
    <phoneticPr fontId="6" type="noConversion"/>
  </si>
  <si>
    <t>绿化带清扫保洁</t>
    <phoneticPr fontId="6" type="noConversion"/>
  </si>
  <si>
    <t>赤峰市松山区城市管理综合行政执法局赤峰商贸物流城道路清扫保洁项目</t>
    <phoneticPr fontId="6" type="noConversion"/>
  </si>
  <si>
    <t>道路保洁和绿化带保洁</t>
    <phoneticPr fontId="6" type="noConversion"/>
  </si>
  <si>
    <t>包头职业教育园区综合服务中心包头职教园区道路清扫保洁及垃圾转运服务</t>
    <phoneticPr fontId="6" type="noConversion"/>
  </si>
  <si>
    <t>道路保洁和垃圾转运</t>
    <phoneticPr fontId="6" type="noConversion"/>
  </si>
  <si>
    <t>鄂尔多斯市东胜区环境卫生事业局清扫保洁服务项目</t>
    <phoneticPr fontId="6" type="noConversion"/>
  </si>
  <si>
    <t>道路清扫保洁</t>
    <phoneticPr fontId="6" type="noConversion"/>
  </si>
  <si>
    <t>鄂尔多斯市东胜区环境卫生事业局清扫保洁服务单一来源采购公告</t>
    <phoneticPr fontId="6" type="noConversion"/>
  </si>
  <si>
    <t>呼和浩特市赛罕区西把栅政府关于西把栅乡城市公共环境卫生清洁保洁服务</t>
    <phoneticPr fontId="6" type="noConversion"/>
  </si>
  <si>
    <t>道路清扫垃圾清运</t>
    <phoneticPr fontId="6" type="noConversion"/>
  </si>
  <si>
    <t>管网养护</t>
    <phoneticPr fontId="6" type="noConversion"/>
  </si>
  <si>
    <t>德州市陵城区污水管网工程</t>
    <phoneticPr fontId="6" type="noConversion"/>
  </si>
  <si>
    <t>威县综合污水处理厂及中水回用项目</t>
    <phoneticPr fontId="6" type="noConversion"/>
  </si>
  <si>
    <t>建设期</t>
    <phoneticPr fontId="3" type="noConversion"/>
  </si>
  <si>
    <t>运营期</t>
    <phoneticPr fontId="3" type="noConversion"/>
  </si>
  <si>
    <t>建设期</t>
    <phoneticPr fontId="11" type="noConversion"/>
  </si>
  <si>
    <t>地方教育附加税</t>
    <phoneticPr fontId="11" type="noConversion"/>
  </si>
  <si>
    <t>城市维护建设税</t>
    <phoneticPr fontId="11" type="noConversion"/>
  </si>
  <si>
    <r>
      <rPr>
        <sz val="14"/>
        <rFont val="宋体"/>
        <family val="3"/>
        <charset val="134"/>
      </rPr>
      <t>教育费附加</t>
    </r>
    <r>
      <rPr>
        <sz val="14"/>
        <color theme="1"/>
        <rFont val="宋体"/>
        <family val="3"/>
        <charset val="134"/>
      </rPr>
      <t>税</t>
    </r>
    <phoneticPr fontId="11" type="noConversion"/>
  </si>
  <si>
    <t>运营维护服务费</t>
    <phoneticPr fontId="3" type="noConversion"/>
  </si>
  <si>
    <t>（本方案采用计息不还息的方式）</t>
    <phoneticPr fontId="3" type="noConversion"/>
  </si>
  <si>
    <t>BP</t>
    <phoneticPr fontId="3" type="noConversion"/>
  </si>
  <si>
    <t>年度</t>
    <phoneticPr fontId="3" type="noConversion"/>
  </si>
  <si>
    <t>一般公共预算支出值</t>
    <phoneticPr fontId="3" type="noConversion"/>
  </si>
  <si>
    <t>无</t>
    <phoneticPr fontId="3" type="noConversion"/>
  </si>
  <si>
    <t>剔除</t>
    <phoneticPr fontId="3" type="noConversion"/>
  </si>
  <si>
    <t>重新立项</t>
    <phoneticPr fontId="3" type="noConversion"/>
  </si>
  <si>
    <t>保留</t>
    <phoneticPr fontId="3" type="noConversion"/>
  </si>
  <si>
    <t>核减后投资</t>
    <phoneticPr fontId="3" type="noConversion"/>
  </si>
  <si>
    <t>纬九路</t>
    <phoneticPr fontId="3" type="noConversion"/>
  </si>
  <si>
    <t>园区危化品停车场</t>
    <phoneticPr fontId="3" type="noConversion"/>
  </si>
  <si>
    <t>危险品运输车辆停车场项目</t>
    <phoneticPr fontId="3" type="noConversion"/>
  </si>
  <si>
    <t>纬九路（经七路-经九路）道路管网建设工程</t>
    <phoneticPr fontId="3" type="noConversion"/>
  </si>
  <si>
    <t>建筑工程费</t>
    <phoneticPr fontId="3" type="noConversion"/>
  </si>
  <si>
    <t>安装工程费</t>
    <phoneticPr fontId="3" type="noConversion"/>
  </si>
  <si>
    <t>危险品</t>
    <phoneticPr fontId="3" type="noConversion"/>
  </si>
  <si>
    <t>第一部分费用</t>
    <phoneticPr fontId="3" type="noConversion"/>
  </si>
  <si>
    <t>第二部分费用</t>
    <phoneticPr fontId="3" type="noConversion"/>
  </si>
  <si>
    <t>铺地流动资金</t>
    <phoneticPr fontId="3" type="noConversion"/>
  </si>
  <si>
    <t>总投资</t>
    <phoneticPr fontId="3" type="noConversion"/>
  </si>
  <si>
    <t>其他费用</t>
    <phoneticPr fontId="3" type="noConversion"/>
  </si>
  <si>
    <t>雨水泵站1座、DN2600压力雨水管线1035米，同时建相应的配套设施等</t>
    <phoneticPr fontId="3" type="noConversion"/>
  </si>
  <si>
    <t>道路工程全长2101.9米，新建沥青混凝土道路面积33407平方米，污水管线、雨水管线、给水管线各2102米，绿化硬化工程、道路照明工程</t>
    <phoneticPr fontId="3" type="noConversion"/>
  </si>
  <si>
    <t>路灯120w</t>
    <phoneticPr fontId="3" type="noConversion"/>
  </si>
  <si>
    <t>本项目总占地面积60000平方米，建设内容包含新建管理办公室1座，车场服务中心（包括汽修区，司机之家）加油站、智能一体化停车场（包括重载车停车区停车位34个，空载车停车区停车位104个）、危化品罐箱蒸洗车间、智慧化管控系统、消防控制中心（包括消防控制室、配电室）、泵房、消防水池、事故水池、污水池等</t>
    <phoneticPr fontId="3" type="noConversion"/>
  </si>
  <si>
    <t>停车位（辆）</t>
    <phoneticPr fontId="3" type="noConversion"/>
  </si>
  <si>
    <t>运营天数</t>
    <phoneticPr fontId="3" type="noConversion"/>
  </si>
  <si>
    <t>年费用</t>
    <phoneticPr fontId="3" type="noConversion"/>
  </si>
  <si>
    <t>消费单价（元）</t>
    <phoneticPr fontId="3" type="noConversion"/>
  </si>
  <si>
    <t>停车量（万辆）</t>
    <phoneticPr fontId="3" type="noConversion"/>
  </si>
  <si>
    <t>停车场运营成本</t>
    <phoneticPr fontId="3" type="noConversion"/>
  </si>
  <si>
    <t>修理费</t>
    <phoneticPr fontId="3" type="noConversion"/>
  </si>
  <si>
    <t>管理费用</t>
    <phoneticPr fontId="3" type="noConversion"/>
  </si>
  <si>
    <t>总价</t>
    <phoneticPr fontId="3" type="noConversion"/>
  </si>
  <si>
    <t>单价（元/平方米）</t>
    <phoneticPr fontId="3" type="noConversion"/>
  </si>
  <si>
    <t>包头市九原工业园区综合开发（一期）建设工程PPP项目</t>
    <phoneticPr fontId="3" type="noConversion"/>
  </si>
  <si>
    <t>本级年度一般公共预算支出数额（万元）</t>
    <phoneticPr fontId="3" type="noConversion"/>
  </si>
  <si>
    <t>所有支出责任占比</t>
    <phoneticPr fontId="3" type="noConversion"/>
  </si>
  <si>
    <t>包头市九原区教育综合体建设PPP项目</t>
    <phoneticPr fontId="3" type="noConversion"/>
  </si>
  <si>
    <t>包头市城市水生态提升综合利用PPP项目</t>
    <phoneticPr fontId="3" type="noConversion"/>
  </si>
  <si>
    <t>估算总投资</t>
  </si>
  <si>
    <t>化工产业板块污水泵站及管网工程</t>
  </si>
  <si>
    <t>化工产业板块雨水泵站及管网工程</t>
  </si>
  <si>
    <t>新规划支路道路及管网建设工程</t>
  </si>
  <si>
    <t>新规划支二路道路及管网建设工程</t>
  </si>
  <si>
    <t>经九路（纬四路-纬九路）道路管网工程</t>
  </si>
  <si>
    <t>特勤消防站项目</t>
  </si>
  <si>
    <t>双创园区标准化厂房（一期）项目</t>
  </si>
  <si>
    <t>双创园区标准化厂房（二期）项目</t>
  </si>
  <si>
    <t>园区轴承产业园标准化厂房（一期）项目</t>
  </si>
  <si>
    <t>纬九路（经七路-经九路）道路管网建设工程</t>
  </si>
  <si>
    <t>危险品运输车辆停车场项目</t>
  </si>
  <si>
    <t>原方案内子项目</t>
    <phoneticPr fontId="3" type="noConversion"/>
  </si>
  <si>
    <t>不变</t>
    <phoneticPr fontId="3" type="noConversion"/>
  </si>
  <si>
    <t>总投资缩减5602.63万元</t>
    <phoneticPr fontId="3" type="noConversion"/>
  </si>
  <si>
    <t>调整后子项目</t>
    <phoneticPr fontId="3" type="noConversion"/>
  </si>
  <si>
    <t>原方案中子项目</t>
    <phoneticPr fontId="3" type="noConversion"/>
  </si>
  <si>
    <t>替换</t>
    <phoneticPr fontId="3" type="noConversion"/>
  </si>
  <si>
    <t>调整后项目总投资</t>
    <phoneticPr fontId="3" type="noConversion"/>
  </si>
  <si>
    <t>原方案项目总投资</t>
    <phoneticPr fontId="3" type="noConversion"/>
  </si>
  <si>
    <t>合计</t>
    <phoneticPr fontId="3" type="noConversion"/>
  </si>
  <si>
    <t>可行性缺口补助累计折现值</t>
    <phoneticPr fontId="3" type="noConversion"/>
  </si>
  <si>
    <t>报价</t>
    <phoneticPr fontId="3" type="noConversion"/>
  </si>
  <si>
    <t>备注：租赁单价竞标报价下限为0.32元/平方米•天，社会资本报价时不得低于下限值。</t>
    <phoneticPr fontId="3" type="noConversion"/>
  </si>
  <si>
    <t>使用者付费统计表2</t>
    <phoneticPr fontId="6" type="noConversion"/>
  </si>
  <si>
    <t>运营维护服务单价报价表</t>
    <phoneticPr fontId="3" type="noConversion"/>
  </si>
  <si>
    <t>子项基础信息表</t>
    <phoneticPr fontId="3" type="noConversion"/>
  </si>
  <si>
    <t>万元</t>
    <phoneticPr fontId="3" type="noConversion"/>
  </si>
  <si>
    <t>子项工程总投资规模
(万元）</t>
    <phoneticPr fontId="3" type="noConversion"/>
  </si>
  <si>
    <t>租赁单价报价表</t>
    <phoneticPr fontId="3" type="noConversion"/>
  </si>
  <si>
    <t>使用者付费统计表</t>
    <phoneticPr fontId="6" type="noConversion"/>
  </si>
  <si>
    <t>子项建筑面积信息表</t>
    <phoneticPr fontId="3" type="noConversion"/>
  </si>
  <si>
    <t>停车场运营成本报价表</t>
    <phoneticPr fontId="3" type="noConversion"/>
  </si>
  <si>
    <t>停车场收入报价表</t>
    <phoneticPr fontId="3" type="noConversion"/>
  </si>
  <si>
    <t>折现率</t>
    <phoneticPr fontId="6" type="noConversion"/>
  </si>
  <si>
    <t>预期综合投资收益率</t>
    <phoneticPr fontId="6" type="noConversion"/>
  </si>
  <si>
    <t>运营期</t>
    <phoneticPr fontId="6" type="noConversion"/>
  </si>
  <si>
    <t>建筑安装工程费下浮率报价</t>
    <phoneticPr fontId="3" type="noConversion"/>
  </si>
  <si>
    <t>经下浮后的建筑安装工程费</t>
    <phoneticPr fontId="3" type="noConversion"/>
  </si>
  <si>
    <t>建安工程费下浮率报价表</t>
    <phoneticPr fontId="3" type="noConversion"/>
  </si>
  <si>
    <t>每年单价（元）</t>
    <phoneticPr fontId="6" type="noConversion"/>
  </si>
  <si>
    <t>建筑面积（平方米）</t>
    <phoneticPr fontId="6" type="noConversion"/>
  </si>
  <si>
    <t>备注：①预期综合投资收益率竞标报价上限为6.5%，社会资本报价时不得超过上限值。
②折现率取3.9%，不可变动。</t>
    <phoneticPr fontId="6" type="noConversion"/>
  </si>
  <si>
    <t>备注：①道路日常养护单价竞标报价上限为10.7元/平方米。
②绿化养护单价竞标报价上限为11.2元/平方米。
③管网养护单价竞标报价上限为15.44元/米。
④泵站养护费率竞标报价上限为该子项工程总投资的2%，社会资本泵站养护费率报价时不得超过2%。</t>
    <phoneticPr fontId="3" type="noConversion"/>
  </si>
  <si>
    <t>备注：停车场服务收入单价为230.09元/车位•天，不可变动。</t>
    <phoneticPr fontId="3" type="noConversion"/>
  </si>
  <si>
    <t>备注：停车场养护单价为13.29元/平方米•年，不可变动。</t>
    <phoneticPr fontId="3" type="noConversion"/>
  </si>
  <si>
    <t>备注：建安工程费下浮率竞标报价限制为1.5%，即竞标报价≥1.5%。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</si>
</sst>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76" formatCode="0.00_);[Red]\(0.00\)"/>
    <numFmt numFmtId="177" formatCode="0.00_ "/>
    <numFmt numFmtId="178" formatCode="0_ "/>
    <numFmt numFmtId="179" formatCode="0_);[Red]\(0\)"/>
    <numFmt numFmtId="180" formatCode="0.00_ ;[Red]\-0.00\ "/>
    <numFmt numFmtId="181" formatCode="_([$€]* #,##0.00_);_([$€]* \(#,##0.00\);_([$€]* &quot;-&quot;??_);_(@_)"/>
    <numFmt numFmtId="182" formatCode="0.0%"/>
    <numFmt numFmtId="183" formatCode="0.0000000000000_ "/>
    <numFmt numFmtId="184" formatCode="0.0000000000_ "/>
    <numFmt numFmtId="185" formatCode="0.000%"/>
    <numFmt numFmtId="186" formatCode="0.000_ "/>
    <numFmt numFmtId="187" formatCode="yyyy\-mm\-dd;@"/>
  </numFmts>
  <fonts count="49">
    <font>
      <sz val="12"/>
      <color theme="1"/>
      <name val="等线"/>
      <charset val="134"/>
      <scheme val="minor"/>
    </font>
    <font>
      <sz val="11"/>
      <color rgb="FF000000"/>
      <name val="宋体"/>
      <family val="3"/>
      <charset val="134"/>
    </font>
    <font>
      <sz val="12"/>
      <color theme="1"/>
      <name val="等线"/>
      <family val="4"/>
      <charset val="134"/>
      <scheme val="minor"/>
    </font>
    <font>
      <sz val="9"/>
      <name val="等线"/>
      <family val="4"/>
      <charset val="134"/>
      <scheme val="minor"/>
    </font>
    <font>
      <sz val="12"/>
      <color theme="1"/>
      <name val="等线"/>
      <family val="4"/>
      <charset val="134"/>
      <scheme val="minor"/>
    </font>
    <font>
      <sz val="10"/>
      <color theme="1"/>
      <name val="等线"/>
      <family val="2"/>
      <scheme val="minor"/>
    </font>
    <font>
      <sz val="9"/>
      <name val="等线"/>
      <family val="3"/>
      <charset val="134"/>
      <scheme val="minor"/>
    </font>
    <font>
      <sz val="10"/>
      <color theme="1"/>
      <name val="等线"/>
      <family val="3"/>
      <charset val="134"/>
      <scheme val="minor"/>
    </font>
    <font>
      <sz val="11"/>
      <color theme="1"/>
      <name val="等线"/>
      <family val="3"/>
      <charset val="134"/>
      <scheme val="minor"/>
    </font>
    <font>
      <sz val="12"/>
      <name val="宋体"/>
      <family val="3"/>
      <charset val="134"/>
    </font>
    <font>
      <b/>
      <sz val="10"/>
      <name val="Times New Roman"/>
      <family val="1"/>
    </font>
    <font>
      <sz val="9"/>
      <name val="宋体"/>
      <family val="3"/>
      <charset val="134"/>
    </font>
    <font>
      <b/>
      <sz val="12"/>
      <color theme="1"/>
      <name val="等线"/>
      <family val="4"/>
      <charset val="134"/>
      <scheme val="minor"/>
    </font>
    <font>
      <sz val="9"/>
      <name val="等线"/>
      <family val="2"/>
      <charset val="134"/>
      <scheme val="minor"/>
    </font>
    <font>
      <sz val="14"/>
      <color theme="1"/>
      <name val="等线"/>
      <family val="4"/>
      <charset val="134"/>
      <scheme val="minor"/>
    </font>
    <font>
      <sz val="14"/>
      <color rgb="FF000000"/>
      <name val="宋体"/>
      <family val="3"/>
      <charset val="134"/>
    </font>
    <font>
      <sz val="14"/>
      <color theme="1"/>
      <name val="宋体"/>
      <family val="3"/>
      <charset val="134"/>
    </font>
    <font>
      <b/>
      <sz val="14"/>
      <color theme="1"/>
      <name val="等线"/>
      <family val="4"/>
      <charset val="134"/>
      <scheme val="minor"/>
    </font>
    <font>
      <b/>
      <sz val="14"/>
      <color theme="1"/>
      <name val="宋体"/>
      <family val="3"/>
      <charset val="134"/>
    </font>
    <font>
      <b/>
      <sz val="14"/>
      <name val="宋体"/>
      <family val="3"/>
      <charset val="134"/>
    </font>
    <font>
      <sz val="14"/>
      <name val="宋体"/>
      <family val="3"/>
      <charset val="134"/>
    </font>
    <font>
      <b/>
      <sz val="14"/>
      <color indexed="8"/>
      <name val="宋体"/>
      <family val="3"/>
      <charset val="134"/>
    </font>
    <font>
      <b/>
      <i/>
      <sz val="14"/>
      <color theme="1"/>
      <name val="宋体"/>
      <family val="3"/>
      <charset val="134"/>
    </font>
    <font>
      <b/>
      <sz val="14"/>
      <color rgb="FF000000"/>
      <name val="宋体"/>
      <family val="3"/>
      <charset val="134"/>
    </font>
    <font>
      <sz val="14"/>
      <color indexed="8"/>
      <name val="宋体"/>
      <family val="3"/>
      <charset val="134"/>
    </font>
    <font>
      <sz val="16"/>
      <color indexed="8"/>
      <name val="宋体"/>
      <family val="3"/>
      <charset val="134"/>
    </font>
    <font>
      <sz val="16"/>
      <color theme="1"/>
      <name val="宋体"/>
      <family val="3"/>
      <charset val="134"/>
    </font>
    <font>
      <sz val="12"/>
      <color theme="1"/>
      <name val="仿宋"/>
      <family val="3"/>
      <charset val="134"/>
    </font>
    <font>
      <sz val="16"/>
      <color theme="1"/>
      <name val="等线"/>
      <family val="4"/>
      <charset val="134"/>
      <scheme val="minor"/>
    </font>
    <font>
      <sz val="21"/>
      <color theme="1"/>
      <name val="方正小标宋_GBK"/>
      <family val="3"/>
      <charset val="134"/>
    </font>
    <font>
      <sz val="14"/>
      <color rgb="FF000000"/>
      <name val="等线"/>
      <family val="4"/>
      <charset val="134"/>
      <scheme val="minor"/>
    </font>
    <font>
      <sz val="12"/>
      <color theme="1"/>
      <name val="宋体"/>
      <family val="3"/>
      <charset val="134"/>
    </font>
    <font>
      <b/>
      <sz val="9"/>
      <color rgb="FF000000"/>
      <name val="宋体"/>
      <family val="3"/>
      <charset val="134"/>
    </font>
    <font>
      <sz val="9"/>
      <color rgb="FF000000"/>
      <name val="宋体"/>
      <family val="3"/>
      <charset val="134"/>
    </font>
    <font>
      <sz val="11"/>
      <color theme="1"/>
      <name val="宋体"/>
      <family val="3"/>
      <charset val="134"/>
    </font>
    <font>
      <b/>
      <sz val="10.5"/>
      <color theme="1"/>
      <name val="宋体"/>
      <family val="3"/>
      <charset val="134"/>
    </font>
    <font>
      <sz val="10.5"/>
      <color theme="1"/>
      <name val="宋体"/>
      <family val="3"/>
      <charset val="134"/>
    </font>
    <font>
      <sz val="10.5"/>
      <color theme="1"/>
      <name val="DengXian"/>
      <family val="4"/>
      <charset val="134"/>
    </font>
    <font>
      <sz val="11"/>
      <color indexed="8"/>
      <name val="宋体"/>
      <family val="3"/>
      <charset val="134"/>
    </font>
    <font>
      <sz val="14"/>
      <color theme="1"/>
      <name val="等线"/>
      <family val="2"/>
      <scheme val="minor"/>
    </font>
    <font>
      <sz val="14"/>
      <color theme="1"/>
      <name val="等线"/>
      <family val="3"/>
      <charset val="134"/>
      <scheme val="minor"/>
    </font>
    <font>
      <sz val="18"/>
      <color theme="1"/>
      <name val="仿宋"/>
      <family val="3"/>
      <charset val="134"/>
    </font>
    <font>
      <sz val="11"/>
      <color theme="1"/>
      <name val="等线"/>
      <family val="4"/>
      <charset val="134"/>
      <scheme val="minor"/>
    </font>
    <font>
      <b/>
      <sz val="11"/>
      <color theme="1"/>
      <name val="宋体"/>
      <family val="3"/>
      <charset val="134"/>
    </font>
    <font>
      <b/>
      <sz val="12"/>
      <color theme="1"/>
      <name val="宋体"/>
      <family val="3"/>
      <charset val="134"/>
    </font>
    <font>
      <sz val="12"/>
      <color rgb="FF000000"/>
      <name val="宋体"/>
      <family val="3"/>
      <charset val="134"/>
    </font>
    <font>
      <sz val="12"/>
      <color rgb="FFFF0000"/>
      <name val="宋体"/>
      <family val="3"/>
      <charset val="134"/>
    </font>
    <font>
      <b/>
      <sz val="9"/>
      <color theme="1"/>
      <name val="宋体"/>
      <family val="3"/>
      <charset val="134"/>
    </font>
    <font>
      <b/>
      <sz val="9"/>
      <color rgb="FFFF0000"/>
      <name val="宋体"/>
      <family val="3"/>
      <charset val="134"/>
    </font>
  </fonts>
  <fills count="6">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bottom/>
      <diagonal/>
    </border>
    <border>
      <left/>
      <right style="thin">
        <color indexed="64"/>
      </right>
      <top/>
      <bottom/>
      <diagonal/>
    </border>
  </borders>
  <cellStyleXfs count="16">
    <xf numFmtId="0" fontId="0" fillId="0" borderId="0">
      <alignment vertical="center"/>
    </xf>
    <xf numFmtId="9" fontId="4" fillId="0" borderId="0" applyFont="0" applyFill="0" applyBorder="0" applyAlignment="0" applyProtection="0">
      <alignment vertical="center"/>
    </xf>
    <xf numFmtId="0" fontId="8" fillId="0" borderId="0">
      <alignment vertical="center"/>
    </xf>
    <xf numFmtId="0" fontId="9" fillId="0" borderId="0">
      <alignment vertical="center"/>
    </xf>
    <xf numFmtId="0" fontId="9" fillId="0" borderId="0"/>
    <xf numFmtId="43" fontId="8" fillId="0" borderId="0" applyFont="0" applyFill="0" applyBorder="0" applyAlignment="0" applyProtection="0">
      <alignment vertical="center"/>
    </xf>
    <xf numFmtId="0" fontId="8" fillId="0" borderId="0">
      <alignment vertical="center"/>
    </xf>
    <xf numFmtId="0" fontId="9" fillId="0" borderId="0">
      <alignment vertical="center"/>
    </xf>
    <xf numFmtId="0" fontId="9" fillId="0" borderId="0"/>
    <xf numFmtId="0" fontId="8" fillId="0" borderId="0"/>
    <xf numFmtId="0" fontId="8" fillId="0" borderId="0"/>
    <xf numFmtId="0" fontId="9" fillId="0" borderId="0"/>
    <xf numFmtId="181" fontId="9" fillId="0" borderId="0"/>
    <xf numFmtId="0" fontId="2" fillId="0" borderId="0">
      <alignment vertical="center"/>
    </xf>
    <xf numFmtId="9" fontId="2" fillId="0" borderId="0" applyFont="0" applyFill="0" applyBorder="0" applyAlignment="0" applyProtection="0">
      <alignment vertical="center"/>
    </xf>
    <xf numFmtId="0" fontId="38" fillId="0" borderId="0">
      <alignment vertical="center"/>
    </xf>
  </cellStyleXfs>
  <cellXfs count="651">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0" xfId="0" applyFont="1">
      <alignment vertical="center"/>
    </xf>
    <xf numFmtId="0" fontId="2" fillId="0" borderId="1" xfId="0" applyFont="1" applyBorder="1" applyAlignment="1">
      <alignment horizontal="center" vertical="center"/>
    </xf>
    <xf numFmtId="10" fontId="0" fillId="0" borderId="0" xfId="0" applyNumberFormat="1">
      <alignment vertical="center"/>
    </xf>
    <xf numFmtId="0" fontId="0" fillId="0" borderId="9" xfId="0" applyBorder="1" applyAlignment="1">
      <alignment horizontal="center" vertical="center"/>
    </xf>
    <xf numFmtId="2" fontId="0" fillId="0" borderId="1" xfId="0" applyNumberFormat="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xf>
    <xf numFmtId="10" fontId="5" fillId="3" borderId="1" xfId="1" applyNumberFormat="1" applyFont="1" applyFill="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0" fontId="5" fillId="3" borderId="8" xfId="1" applyNumberFormat="1" applyFont="1" applyFill="1" applyBorder="1" applyAlignment="1">
      <alignment horizontal="center" vertical="center"/>
    </xf>
    <xf numFmtId="0" fontId="0" fillId="0" borderId="0" xfId="0" applyAlignment="1"/>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lignment vertical="center"/>
    </xf>
    <xf numFmtId="0" fontId="14" fillId="0" borderId="0" xfId="0" applyFont="1">
      <alignment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lignment vertical="center"/>
    </xf>
    <xf numFmtId="9" fontId="16" fillId="0" borderId="1" xfId="1" applyFont="1" applyBorder="1" applyAlignment="1">
      <alignment horizontal="center" vertical="center"/>
    </xf>
    <xf numFmtId="0" fontId="16" fillId="0" borderId="5" xfId="0" applyFont="1" applyBorder="1">
      <alignment vertical="center"/>
    </xf>
    <xf numFmtId="0" fontId="16" fillId="0" borderId="8" xfId="0" applyFont="1" applyBorder="1">
      <alignment vertical="center"/>
    </xf>
    <xf numFmtId="10" fontId="16" fillId="0" borderId="0" xfId="0" applyNumberFormat="1" applyFont="1">
      <alignment vertical="center"/>
    </xf>
    <xf numFmtId="9" fontId="16" fillId="0" borderId="1" xfId="0" applyNumberFormat="1" applyFont="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4"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 xfId="0" applyFont="1" applyFill="1" applyBorder="1" applyAlignment="1">
      <alignment horizontal="center" vertical="center"/>
    </xf>
    <xf numFmtId="10" fontId="16" fillId="3" borderId="1" xfId="1" applyNumberFormat="1" applyFont="1" applyFill="1" applyBorder="1" applyAlignment="1">
      <alignment horizontal="center" vertical="center"/>
    </xf>
    <xf numFmtId="0" fontId="16" fillId="0" borderId="14" xfId="0" applyFont="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10" fontId="16" fillId="3" borderId="8" xfId="1" applyNumberFormat="1" applyFont="1" applyFill="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176" fontId="16" fillId="0" borderId="17"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8" fillId="0" borderId="1" xfId="0" applyNumberFormat="1" applyFont="1" applyBorder="1" applyAlignment="1">
      <alignment horizontal="center" vertical="center"/>
    </xf>
    <xf numFmtId="2" fontId="16" fillId="0" borderId="19" xfId="0" applyNumberFormat="1" applyFont="1" applyBorder="1" applyAlignment="1">
      <alignment horizontal="center" vertical="center"/>
    </xf>
    <xf numFmtId="0" fontId="16" fillId="4" borderId="0" xfId="0" applyFont="1" applyFill="1" applyAlignment="1">
      <alignment horizontal="center" vertical="center"/>
    </xf>
    <xf numFmtId="1" fontId="18" fillId="4" borderId="1" xfId="0" applyNumberFormat="1" applyFont="1" applyFill="1" applyBorder="1" applyAlignment="1">
      <alignment horizontal="center" vertical="center" wrapText="1"/>
    </xf>
    <xf numFmtId="0" fontId="16" fillId="4" borderId="13" xfId="0" applyFont="1" applyFill="1" applyBorder="1" applyAlignment="1">
      <alignment horizontal="center" vertical="center"/>
    </xf>
    <xf numFmtId="0" fontId="18" fillId="4" borderId="0" xfId="0" applyFont="1" applyFill="1" applyAlignment="1">
      <alignment horizontal="center" vertical="center"/>
    </xf>
    <xf numFmtId="0" fontId="20" fillId="4" borderId="0" xfId="2" applyFont="1" applyFill="1" applyAlignment="1">
      <alignment horizontal="center" vertical="center"/>
    </xf>
    <xf numFmtId="0" fontId="20" fillId="4" borderId="0" xfId="2" applyFont="1" applyFill="1" applyAlignment="1">
      <alignment horizontal="center"/>
    </xf>
    <xf numFmtId="0" fontId="16" fillId="4" borderId="0" xfId="0" applyFont="1" applyFill="1" applyAlignment="1">
      <alignment horizontal="center"/>
    </xf>
    <xf numFmtId="176" fontId="16" fillId="4" borderId="1" xfId="5" applyNumberFormat="1" applyFont="1" applyFill="1" applyBorder="1" applyAlignment="1">
      <alignment horizontal="center" vertical="center"/>
    </xf>
    <xf numFmtId="2" fontId="16" fillId="4" borderId="0" xfId="0" applyNumberFormat="1" applyFont="1" applyFill="1" applyAlignment="1">
      <alignment horizontal="center"/>
    </xf>
    <xf numFmtId="177" fontId="16" fillId="0" borderId="0" xfId="0" applyNumberFormat="1" applyFont="1" applyAlignment="1">
      <alignment horizontal="center" vertical="center"/>
    </xf>
    <xf numFmtId="0" fontId="18" fillId="4" borderId="0" xfId="0" applyFont="1" applyFill="1" applyAlignment="1">
      <alignment horizontal="left" vertical="center"/>
    </xf>
    <xf numFmtId="0" fontId="18" fillId="4" borderId="1" xfId="0" applyFont="1" applyFill="1" applyBorder="1" applyAlignment="1">
      <alignment horizontal="center" vertical="center"/>
    </xf>
    <xf numFmtId="179" fontId="20" fillId="4" borderId="1" xfId="3" applyNumberFormat="1" applyFont="1" applyFill="1" applyBorder="1" applyAlignment="1">
      <alignment horizontal="center" vertical="center"/>
    </xf>
    <xf numFmtId="176" fontId="16" fillId="4" borderId="1" xfId="0" applyNumberFormat="1" applyFont="1" applyFill="1" applyBorder="1" applyAlignment="1">
      <alignment horizontal="right" vertical="center"/>
    </xf>
    <xf numFmtId="179" fontId="16" fillId="4" borderId="1" xfId="2" applyNumberFormat="1" applyFont="1" applyFill="1" applyBorder="1" applyAlignment="1">
      <alignment horizontal="center" vertical="center"/>
    </xf>
    <xf numFmtId="176" fontId="16" fillId="4" borderId="1" xfId="0" applyNumberFormat="1" applyFont="1" applyFill="1" applyBorder="1" applyAlignment="1">
      <alignment horizontal="center" vertical="center"/>
    </xf>
    <xf numFmtId="10" fontId="20" fillId="4" borderId="1" xfId="2" applyNumberFormat="1" applyFont="1" applyFill="1" applyBorder="1" applyAlignment="1">
      <alignment horizontal="center" vertical="center"/>
    </xf>
    <xf numFmtId="2" fontId="16" fillId="4" borderId="1" xfId="0" applyNumberFormat="1" applyFont="1" applyFill="1" applyBorder="1" applyAlignment="1">
      <alignment horizontal="center" vertical="center"/>
    </xf>
    <xf numFmtId="0" fontId="20" fillId="4" borderId="1" xfId="3" applyFont="1" applyFill="1" applyBorder="1" applyAlignment="1">
      <alignment horizontal="center" vertical="center"/>
    </xf>
    <xf numFmtId="0" fontId="15" fillId="0" borderId="1" xfId="0" applyNumberFormat="1" applyFont="1" applyFill="1" applyBorder="1" applyAlignment="1">
      <alignment horizontal="center" vertical="center" wrapText="1"/>
    </xf>
    <xf numFmtId="2" fontId="16" fillId="0" borderId="8"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0" xfId="0" applyFont="1" applyAlignment="1"/>
    <xf numFmtId="0" fontId="18" fillId="4" borderId="1" xfId="0" applyFont="1" applyFill="1" applyBorder="1" applyAlignment="1">
      <alignment horizontal="left" vertical="center"/>
    </xf>
    <xf numFmtId="10" fontId="18" fillId="4" borderId="1" xfId="0" applyNumberFormat="1" applyFont="1" applyFill="1" applyBorder="1" applyAlignment="1">
      <alignment horizontal="center" vertical="center"/>
    </xf>
    <xf numFmtId="176" fontId="18" fillId="4" borderId="1" xfId="0" applyNumberFormat="1" applyFont="1" applyFill="1" applyBorder="1" applyAlignment="1">
      <alignment horizontal="right" vertical="center"/>
    </xf>
    <xf numFmtId="177" fontId="18" fillId="4" borderId="1" xfId="0" applyNumberFormat="1" applyFont="1" applyFill="1" applyBorder="1" applyAlignment="1">
      <alignment horizontal="center" vertical="center"/>
    </xf>
    <xf numFmtId="179" fontId="19" fillId="4" borderId="1" xfId="2" applyNumberFormat="1" applyFont="1" applyFill="1" applyBorder="1" applyAlignment="1">
      <alignment horizontal="center" vertical="center" wrapText="1"/>
    </xf>
    <xf numFmtId="0" fontId="23" fillId="4" borderId="1" xfId="10" applyFont="1" applyFill="1" applyBorder="1" applyAlignment="1">
      <alignment horizontal="center" vertical="center"/>
    </xf>
    <xf numFmtId="0" fontId="21" fillId="4" borderId="1" xfId="10" applyFont="1" applyFill="1" applyBorder="1" applyAlignment="1">
      <alignment horizontal="left" vertical="center"/>
    </xf>
    <xf numFmtId="0" fontId="19" fillId="4" borderId="1" xfId="10" applyFont="1" applyFill="1" applyBorder="1" applyAlignment="1">
      <alignment horizontal="center" vertical="center"/>
    </xf>
    <xf numFmtId="0" fontId="19" fillId="4" borderId="1" xfId="10" applyFont="1" applyFill="1" applyBorder="1" applyAlignment="1">
      <alignment horizontal="left" vertical="center"/>
    </xf>
    <xf numFmtId="0" fontId="20" fillId="4" borderId="1" xfId="10" applyFont="1" applyFill="1" applyBorder="1" applyAlignment="1">
      <alignment horizontal="center" vertical="center"/>
    </xf>
    <xf numFmtId="0" fontId="20" fillId="4" borderId="1" xfId="10" applyFont="1" applyFill="1" applyBorder="1" applyAlignment="1">
      <alignment horizontal="left" vertical="center"/>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18" fillId="4" borderId="1" xfId="0" applyFont="1" applyFill="1" applyBorder="1">
      <alignment vertical="center"/>
    </xf>
    <xf numFmtId="180" fontId="18" fillId="4" borderId="1" xfId="0" applyNumberFormat="1" applyFont="1" applyFill="1" applyBorder="1" applyAlignment="1">
      <alignment horizontal="right" vertical="center"/>
    </xf>
    <xf numFmtId="180" fontId="16" fillId="4" borderId="1" xfId="0" applyNumberFormat="1" applyFont="1" applyFill="1" applyBorder="1" applyAlignment="1">
      <alignment horizontal="right" vertical="center"/>
    </xf>
    <xf numFmtId="9" fontId="16" fillId="4" borderId="1" xfId="0" applyNumberFormat="1" applyFont="1" applyFill="1" applyBorder="1" applyAlignment="1">
      <alignment horizontal="center" vertical="center"/>
    </xf>
    <xf numFmtId="10" fontId="16" fillId="4" borderId="1" xfId="1" applyNumberFormat="1" applyFont="1" applyFill="1" applyBorder="1" applyAlignment="1">
      <alignment horizontal="center" vertical="center"/>
    </xf>
    <xf numFmtId="180" fontId="18" fillId="4" borderId="1" xfId="0" applyNumberFormat="1" applyFont="1" applyFill="1" applyBorder="1" applyAlignment="1">
      <alignment horizontal="center" vertical="center"/>
    </xf>
    <xf numFmtId="180" fontId="16" fillId="4" borderId="1" xfId="0" applyNumberFormat="1" applyFont="1" applyFill="1" applyBorder="1" applyAlignment="1">
      <alignment horizontal="center" vertical="center"/>
    </xf>
    <xf numFmtId="180" fontId="20" fillId="4" borderId="1" xfId="10" applyNumberFormat="1" applyFont="1" applyFill="1" applyBorder="1" applyAlignment="1">
      <alignment horizontal="center" vertical="center"/>
    </xf>
    <xf numFmtId="177" fontId="16" fillId="4" borderId="1" xfId="0" applyNumberFormat="1" applyFont="1" applyFill="1" applyBorder="1" applyAlignment="1">
      <alignment horizontal="center" vertical="center"/>
    </xf>
    <xf numFmtId="178" fontId="19" fillId="4" borderId="1" xfId="12" applyNumberFormat="1" applyFont="1" applyFill="1" applyBorder="1" applyAlignment="1">
      <alignment horizontal="center" vertical="center" wrapText="1"/>
    </xf>
    <xf numFmtId="178" fontId="19" fillId="4" borderId="1" xfId="12" applyNumberFormat="1" applyFont="1" applyFill="1" applyBorder="1" applyAlignment="1">
      <alignment horizontal="left" vertical="center" wrapText="1"/>
    </xf>
    <xf numFmtId="0" fontId="20" fillId="4" borderId="1" xfId="11" applyFont="1" applyFill="1" applyBorder="1" applyAlignment="1">
      <alignment horizontal="center" vertical="center"/>
    </xf>
    <xf numFmtId="0" fontId="20" fillId="4" borderId="1" xfId="11" applyFont="1" applyFill="1" applyBorder="1" applyAlignment="1">
      <alignment horizontal="left" vertical="center"/>
    </xf>
    <xf numFmtId="178" fontId="20" fillId="4" borderId="1" xfId="12" applyNumberFormat="1" applyFont="1" applyFill="1" applyBorder="1" applyAlignment="1">
      <alignment horizontal="left" vertical="center" wrapText="1"/>
    </xf>
    <xf numFmtId="0" fontId="19" fillId="4" borderId="1" xfId="11" applyFont="1" applyFill="1" applyBorder="1" applyAlignment="1">
      <alignment horizontal="center" vertical="center"/>
    </xf>
    <xf numFmtId="178" fontId="19" fillId="4" borderId="11" xfId="12" applyNumberFormat="1" applyFont="1" applyFill="1" applyBorder="1" applyAlignment="1">
      <alignment horizontal="center" vertical="center" wrapText="1"/>
    </xf>
    <xf numFmtId="178" fontId="19" fillId="4" borderId="11" xfId="12" applyNumberFormat="1" applyFont="1" applyFill="1" applyBorder="1" applyAlignment="1">
      <alignment horizontal="left" vertical="center" wrapText="1"/>
    </xf>
    <xf numFmtId="180" fontId="16" fillId="4" borderId="11" xfId="0" applyNumberFormat="1" applyFont="1" applyFill="1" applyBorder="1" applyAlignment="1">
      <alignment horizontal="right" vertical="center"/>
    </xf>
    <xf numFmtId="10" fontId="18" fillId="4" borderId="0" xfId="0" applyNumberFormat="1" applyFont="1" applyFill="1" applyBorder="1" applyAlignment="1">
      <alignment horizontal="left" vertical="center"/>
    </xf>
    <xf numFmtId="0" fontId="16" fillId="4" borderId="0" xfId="0" applyFont="1" applyFill="1" applyBorder="1" applyAlignment="1">
      <alignment horizontal="center" vertical="center"/>
    </xf>
    <xf numFmtId="177" fontId="19" fillId="4" borderId="13" xfId="12" applyNumberFormat="1" applyFont="1" applyFill="1" applyBorder="1" applyAlignment="1">
      <alignment horizontal="center" vertical="center" wrapText="1"/>
    </xf>
    <xf numFmtId="177" fontId="19" fillId="4" borderId="1" xfId="12" applyNumberFormat="1" applyFont="1" applyFill="1" applyBorder="1" applyAlignment="1">
      <alignment horizontal="left" vertical="center" wrapText="1"/>
    </xf>
    <xf numFmtId="0" fontId="16" fillId="4" borderId="1" xfId="0" applyFont="1" applyFill="1" applyBorder="1" applyAlignment="1">
      <alignment horizontal="left" vertical="center"/>
    </xf>
    <xf numFmtId="0" fontId="20" fillId="4" borderId="13" xfId="11" applyFont="1" applyFill="1" applyBorder="1" applyAlignment="1">
      <alignment horizontal="center" vertical="center"/>
    </xf>
    <xf numFmtId="177" fontId="20" fillId="4" borderId="1" xfId="12" applyNumberFormat="1" applyFont="1" applyFill="1" applyBorder="1" applyAlignment="1">
      <alignment horizontal="left" vertical="center" wrapText="1"/>
    </xf>
    <xf numFmtId="177" fontId="20" fillId="4" borderId="1" xfId="11" applyNumberFormat="1" applyFont="1" applyFill="1" applyBorder="1" applyAlignment="1">
      <alignment horizontal="left" vertical="center"/>
    </xf>
    <xf numFmtId="0" fontId="19" fillId="4" borderId="13" xfId="11" applyFont="1" applyFill="1" applyBorder="1" applyAlignment="1">
      <alignment horizontal="center" vertical="center"/>
    </xf>
    <xf numFmtId="0" fontId="21" fillId="4" borderId="1" xfId="0" applyFont="1" applyFill="1" applyBorder="1" applyAlignment="1">
      <alignment horizontal="center" vertical="center"/>
    </xf>
    <xf numFmtId="177" fontId="18" fillId="4" borderId="1" xfId="0" applyNumberFormat="1" applyFont="1" applyFill="1" applyBorder="1" applyAlignment="1">
      <alignment horizontal="left" vertical="center"/>
    </xf>
    <xf numFmtId="177" fontId="16" fillId="4" borderId="1" xfId="0" applyNumberFormat="1" applyFont="1" applyFill="1" applyBorder="1" applyAlignment="1">
      <alignment horizontal="left" vertical="center"/>
    </xf>
    <xf numFmtId="0" fontId="16" fillId="4" borderId="1" xfId="0" applyFont="1" applyFill="1" applyBorder="1" applyAlignment="1"/>
    <xf numFmtId="0" fontId="16" fillId="4" borderId="11" xfId="0" applyFont="1" applyFill="1" applyBorder="1" applyAlignment="1">
      <alignment horizontal="center" vertical="center"/>
    </xf>
    <xf numFmtId="0" fontId="16" fillId="4" borderId="11" xfId="0" applyFont="1" applyFill="1" applyBorder="1" applyAlignment="1">
      <alignment horizontal="left" vertical="center"/>
    </xf>
    <xf numFmtId="177" fontId="16" fillId="4" borderId="11" xfId="0" applyNumberFormat="1" applyFont="1" applyFill="1" applyBorder="1" applyAlignment="1">
      <alignment horizontal="right" vertical="center"/>
    </xf>
    <xf numFmtId="0" fontId="16" fillId="4" borderId="26" xfId="0" applyFont="1" applyFill="1" applyBorder="1" applyAlignment="1">
      <alignment horizontal="right" vertical="center"/>
    </xf>
    <xf numFmtId="0" fontId="16" fillId="4" borderId="21" xfId="0" applyFont="1" applyFill="1" applyBorder="1" applyAlignment="1">
      <alignment horizontal="right" vertical="center"/>
    </xf>
    <xf numFmtId="10" fontId="18" fillId="4" borderId="21" xfId="1" applyNumberFormat="1" applyFont="1" applyFill="1" applyBorder="1" applyAlignment="1">
      <alignment horizontal="left" vertical="center"/>
    </xf>
    <xf numFmtId="0" fontId="16" fillId="4" borderId="21" xfId="0" applyFont="1" applyFill="1" applyBorder="1" applyAlignment="1"/>
    <xf numFmtId="0" fontId="21" fillId="4" borderId="1" xfId="6" applyFont="1" applyFill="1" applyBorder="1" applyAlignment="1">
      <alignment horizontal="center" vertical="center"/>
    </xf>
    <xf numFmtId="0" fontId="24" fillId="4" borderId="1" xfId="6" applyFont="1" applyFill="1" applyBorder="1" applyAlignment="1">
      <alignment horizontal="center" vertical="center"/>
    </xf>
    <xf numFmtId="177" fontId="16" fillId="4" borderId="1" xfId="0" applyNumberFormat="1" applyFont="1" applyFill="1" applyBorder="1">
      <alignment vertical="center"/>
    </xf>
    <xf numFmtId="0" fontId="24" fillId="4" borderId="1" xfId="6" applyFont="1" applyFill="1" applyBorder="1" applyAlignment="1">
      <alignment horizontal="left" vertical="center"/>
    </xf>
    <xf numFmtId="0" fontId="24" fillId="4" borderId="11" xfId="6" applyFont="1" applyFill="1" applyBorder="1" applyAlignment="1">
      <alignment horizontal="center" vertical="center"/>
    </xf>
    <xf numFmtId="43" fontId="16" fillId="4" borderId="26" xfId="0" applyNumberFormat="1" applyFont="1" applyFill="1" applyBorder="1" applyAlignment="1">
      <alignment horizontal="center" vertical="center"/>
    </xf>
    <xf numFmtId="10" fontId="16" fillId="4" borderId="26" xfId="0" applyNumberFormat="1" applyFont="1" applyFill="1" applyBorder="1" applyAlignment="1">
      <alignment horizontal="left" vertical="center" indent="1"/>
    </xf>
    <xf numFmtId="0" fontId="16" fillId="4" borderId="26" xfId="0" applyFont="1" applyFill="1" applyBorder="1" applyAlignment="1">
      <alignment horizontal="left" indent="1"/>
    </xf>
    <xf numFmtId="176" fontId="16" fillId="4" borderId="21" xfId="0" applyNumberFormat="1" applyFont="1" applyFill="1" applyBorder="1" applyAlignment="1">
      <alignment horizontal="center" vertical="center"/>
    </xf>
    <xf numFmtId="176" fontId="16" fillId="4" borderId="21" xfId="0" applyNumberFormat="1" applyFont="1" applyFill="1" applyBorder="1" applyAlignment="1">
      <alignment horizontal="left" vertical="center" indent="1"/>
    </xf>
    <xf numFmtId="0" fontId="16" fillId="4" borderId="21" xfId="0" applyFont="1" applyFill="1" applyBorder="1" applyAlignment="1">
      <alignment horizontal="left" indent="1"/>
    </xf>
    <xf numFmtId="0" fontId="25" fillId="4" borderId="1" xfId="6" applyFont="1" applyFill="1" applyBorder="1" applyAlignment="1">
      <alignment horizontal="center" vertical="center" wrapText="1"/>
    </xf>
    <xf numFmtId="0" fontId="25" fillId="4" borderId="1" xfId="6" applyFont="1" applyFill="1" applyBorder="1" applyAlignment="1">
      <alignment horizontal="left" vertical="center" wrapText="1"/>
    </xf>
    <xf numFmtId="176" fontId="25" fillId="4" borderId="1" xfId="6" applyNumberFormat="1" applyFont="1" applyFill="1" applyBorder="1">
      <alignment vertical="center"/>
    </xf>
    <xf numFmtId="176" fontId="26" fillId="4" borderId="1" xfId="0" applyNumberFormat="1" applyFont="1" applyFill="1" applyBorder="1">
      <alignment vertical="center"/>
    </xf>
    <xf numFmtId="0" fontId="25" fillId="4" borderId="11" xfId="6" applyFont="1" applyFill="1" applyBorder="1" applyAlignment="1">
      <alignment horizontal="center" vertical="center" wrapText="1"/>
    </xf>
    <xf numFmtId="0" fontId="25" fillId="4" borderId="11" xfId="6" applyFont="1" applyFill="1" applyBorder="1" applyAlignment="1">
      <alignment horizontal="left" vertical="center" wrapText="1"/>
    </xf>
    <xf numFmtId="0" fontId="26" fillId="4" borderId="27" xfId="0" applyFont="1" applyFill="1" applyBorder="1">
      <alignment vertical="center"/>
    </xf>
    <xf numFmtId="0" fontId="25" fillId="4" borderId="26" xfId="6" applyFont="1" applyFill="1" applyBorder="1">
      <alignment vertical="center"/>
    </xf>
    <xf numFmtId="0" fontId="26" fillId="4" borderId="26" xfId="0" applyFont="1" applyFill="1" applyBorder="1" applyAlignment="1"/>
    <xf numFmtId="0" fontId="26" fillId="4" borderId="20" xfId="0" applyFont="1" applyFill="1" applyBorder="1">
      <alignment vertical="center"/>
    </xf>
    <xf numFmtId="0" fontId="25" fillId="4" borderId="21" xfId="6" applyFont="1" applyFill="1" applyBorder="1" applyAlignment="1">
      <alignment horizontal="right" vertical="center"/>
    </xf>
    <xf numFmtId="176" fontId="26" fillId="4" borderId="21" xfId="0" applyNumberFormat="1" applyFont="1" applyFill="1" applyBorder="1" applyAlignment="1">
      <alignment horizontal="left" vertical="center"/>
    </xf>
    <xf numFmtId="0" fontId="26" fillId="4" borderId="21" xfId="0" applyFont="1" applyFill="1" applyBorder="1" applyAlignment="1"/>
    <xf numFmtId="2" fontId="16" fillId="0" borderId="1" xfId="0" applyNumberFormat="1" applyFont="1" applyBorder="1" applyAlignment="1">
      <alignment horizontal="center" vertical="center" wrapText="1"/>
    </xf>
    <xf numFmtId="182" fontId="16" fillId="0" borderId="1" xfId="1" applyNumberFormat="1" applyFont="1" applyBorder="1" applyAlignment="1">
      <alignment horizontal="center" vertical="center" wrapText="1"/>
    </xf>
    <xf numFmtId="176" fontId="16" fillId="0" borderId="0" xfId="0" applyNumberFormat="1" applyFont="1" applyAlignment="1">
      <alignment horizontal="center" vertical="center"/>
    </xf>
    <xf numFmtId="177" fontId="16"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79" fontId="19" fillId="0" borderId="1" xfId="2" applyNumberFormat="1" applyFont="1" applyBorder="1" applyAlignment="1">
      <alignment horizontal="center" vertical="center" wrapText="1"/>
    </xf>
    <xf numFmtId="0" fontId="21" fillId="0" borderId="1" xfId="6" applyFont="1" applyBorder="1" applyAlignment="1">
      <alignment horizontal="center" vertical="center" wrapText="1"/>
    </xf>
    <xf numFmtId="177" fontId="21" fillId="0" borderId="1" xfId="6" applyNumberFormat="1" applyFont="1" applyBorder="1" applyAlignment="1">
      <alignment horizontal="center" vertical="center" wrapText="1"/>
    </xf>
    <xf numFmtId="178" fontId="21" fillId="0" borderId="1" xfId="6" applyNumberFormat="1" applyFont="1" applyBorder="1" applyAlignment="1">
      <alignment horizontal="center" vertical="center" wrapText="1"/>
    </xf>
    <xf numFmtId="10" fontId="21" fillId="0" borderId="1" xfId="6" applyNumberFormat="1" applyFont="1" applyBorder="1" applyAlignment="1">
      <alignment horizontal="center" vertical="center" wrapText="1"/>
    </xf>
    <xf numFmtId="176" fontId="21" fillId="4" borderId="1" xfId="0" applyNumberFormat="1" applyFont="1" applyFill="1" applyBorder="1" applyAlignment="1">
      <alignment horizontal="center" vertical="center"/>
    </xf>
    <xf numFmtId="0" fontId="24" fillId="4" borderId="1" xfId="0" applyFont="1" applyFill="1" applyBorder="1">
      <alignment vertical="center"/>
    </xf>
    <xf numFmtId="2" fontId="24" fillId="4" borderId="1" xfId="0" applyNumberFormat="1" applyFont="1" applyFill="1" applyBorder="1">
      <alignment vertical="center"/>
    </xf>
    <xf numFmtId="176" fontId="24" fillId="4" borderId="1" xfId="0" applyNumberFormat="1" applyFont="1" applyFill="1" applyBorder="1">
      <alignment vertical="center"/>
    </xf>
    <xf numFmtId="0" fontId="24" fillId="4" borderId="1" xfId="0" applyFont="1" applyFill="1" applyBorder="1" applyAlignment="1">
      <alignment horizontal="center" vertical="center"/>
    </xf>
    <xf numFmtId="0" fontId="24" fillId="4" borderId="1" xfId="0" applyFont="1" applyFill="1" applyBorder="1" applyAlignment="1">
      <alignment vertical="center" wrapText="1"/>
    </xf>
    <xf numFmtId="0" fontId="16" fillId="4" borderId="1" xfId="0" applyFont="1" applyFill="1" applyBorder="1">
      <alignment vertical="center"/>
    </xf>
    <xf numFmtId="43" fontId="16" fillId="4" borderId="1" xfId="0" applyNumberFormat="1" applyFont="1" applyFill="1" applyBorder="1">
      <alignment vertical="center"/>
    </xf>
    <xf numFmtId="180" fontId="24" fillId="4" borderId="1" xfId="0" applyNumberFormat="1" applyFont="1" applyFill="1" applyBorder="1">
      <alignment vertical="center"/>
    </xf>
    <xf numFmtId="180" fontId="16" fillId="0" borderId="0" xfId="0" applyNumberFormat="1" applyFont="1">
      <alignment vertical="center"/>
    </xf>
    <xf numFmtId="0" fontId="21" fillId="0" borderId="1" xfId="6" applyFont="1" applyFill="1" applyBorder="1" applyAlignment="1">
      <alignment horizontal="center" vertical="center" wrapText="1"/>
    </xf>
    <xf numFmtId="1" fontId="21" fillId="0" borderId="1" xfId="6" applyNumberFormat="1" applyFont="1" applyBorder="1" applyAlignment="1">
      <alignment horizontal="center" vertical="center" wrapText="1"/>
    </xf>
    <xf numFmtId="0" fontId="18"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18" fillId="4" borderId="1" xfId="0" applyFont="1" applyFill="1" applyBorder="1" applyAlignment="1">
      <alignment horizontal="center" vertical="center"/>
    </xf>
    <xf numFmtId="9" fontId="0" fillId="0" borderId="0" xfId="1" applyFont="1">
      <alignment vertical="center"/>
    </xf>
    <xf numFmtId="9" fontId="0" fillId="0" borderId="0" xfId="0" applyNumberFormat="1">
      <alignment vertical="center"/>
    </xf>
    <xf numFmtId="10" fontId="0" fillId="0" borderId="0" xfId="1" applyNumberFormat="1" applyFont="1">
      <alignment vertical="center"/>
    </xf>
    <xf numFmtId="0" fontId="2" fillId="0" borderId="0" xfId="13">
      <alignment vertical="center"/>
    </xf>
    <xf numFmtId="0" fontId="2" fillId="0" borderId="0" xfId="13" applyAlignment="1">
      <alignment horizontal="center" vertical="center"/>
    </xf>
    <xf numFmtId="0" fontId="2" fillId="4" borderId="0" xfId="13" applyFill="1">
      <alignment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28" fillId="0" borderId="0" xfId="13" applyFont="1">
      <alignment vertical="center"/>
    </xf>
    <xf numFmtId="10" fontId="2" fillId="0" borderId="0" xfId="1" applyNumberFormat="1" applyFont="1">
      <alignment vertical="center"/>
    </xf>
    <xf numFmtId="10" fontId="2" fillId="0" borderId="0" xfId="13" applyNumberFormat="1">
      <alignment vertical="center"/>
    </xf>
    <xf numFmtId="0" fontId="2" fillId="0" borderId="0" xfId="13" applyAlignment="1">
      <alignment vertical="center" wrapText="1"/>
    </xf>
    <xf numFmtId="0" fontId="16" fillId="5" borderId="0" xfId="0" applyFont="1" applyFill="1" applyAlignment="1">
      <alignment horizontal="center" vertical="center"/>
    </xf>
    <xf numFmtId="0" fontId="16" fillId="5" borderId="0" xfId="0" applyFont="1" applyFill="1">
      <alignment vertical="center"/>
    </xf>
    <xf numFmtId="0" fontId="16" fillId="0" borderId="0" xfId="0" applyFont="1" applyBorder="1" applyAlignment="1">
      <alignment horizontal="center" vertical="center"/>
    </xf>
    <xf numFmtId="2" fontId="16" fillId="0" borderId="0" xfId="0" applyNumberFormat="1" applyFont="1" applyBorder="1" applyAlignment="1">
      <alignment horizontal="center" vertical="center"/>
    </xf>
    <xf numFmtId="2" fontId="18" fillId="4" borderId="0" xfId="0" applyNumberFormat="1" applyFont="1" applyFill="1" applyAlignment="1">
      <alignment horizontal="center" vertical="center"/>
    </xf>
    <xf numFmtId="10" fontId="16" fillId="0" borderId="1" xfId="0" applyNumberFormat="1" applyFont="1" applyBorder="1" applyAlignment="1">
      <alignment horizontal="center" vertical="center"/>
    </xf>
    <xf numFmtId="176" fontId="18" fillId="4" borderId="1" xfId="0" applyNumberFormat="1" applyFont="1" applyFill="1" applyBorder="1" applyAlignment="1">
      <alignment horizontal="center" vertical="center"/>
    </xf>
    <xf numFmtId="0" fontId="17" fillId="5" borderId="0" xfId="0" applyFont="1" applyFill="1" applyAlignment="1">
      <alignment horizontal="center" vertical="center"/>
    </xf>
    <xf numFmtId="2" fontId="2" fillId="0" borderId="0" xfId="13" applyNumberFormat="1">
      <alignment vertical="center"/>
    </xf>
    <xf numFmtId="0" fontId="16" fillId="0" borderId="1" xfId="0" applyFont="1" applyBorder="1">
      <alignment vertical="center"/>
    </xf>
    <xf numFmtId="2" fontId="14" fillId="0" borderId="1" xfId="13" applyNumberFormat="1" applyFont="1" applyBorder="1" applyAlignment="1">
      <alignment horizontal="center" vertical="center"/>
    </xf>
    <xf numFmtId="0" fontId="14" fillId="0" borderId="1" xfId="13" applyFont="1" applyBorder="1" applyAlignment="1">
      <alignment horizontal="center" vertical="center"/>
    </xf>
    <xf numFmtId="0" fontId="17" fillId="0" borderId="1" xfId="13" applyFont="1" applyBorder="1" applyAlignment="1">
      <alignment horizontal="center" vertical="center" wrapText="1"/>
    </xf>
    <xf numFmtId="0" fontId="30" fillId="0" borderId="1" xfId="13" applyFont="1" applyBorder="1" applyAlignment="1">
      <alignment horizontal="center" vertical="center" wrapText="1"/>
    </xf>
    <xf numFmtId="0" fontId="12" fillId="0" borderId="0" xfId="0" applyFont="1">
      <alignment vertical="center"/>
    </xf>
    <xf numFmtId="0" fontId="2" fillId="0" borderId="0" xfId="13" applyBorder="1">
      <alignment vertical="center"/>
    </xf>
    <xf numFmtId="0" fontId="18" fillId="0" borderId="0" xfId="0" applyFont="1">
      <alignment vertical="center"/>
    </xf>
    <xf numFmtId="0" fontId="16" fillId="0" borderId="1" xfId="0" applyFont="1" applyFill="1" applyBorder="1" applyAlignment="1">
      <alignment horizontal="center" vertical="center" wrapText="1"/>
    </xf>
    <xf numFmtId="0" fontId="2" fillId="5" borderId="0" xfId="0" applyFont="1" applyFill="1">
      <alignment vertical="center"/>
    </xf>
    <xf numFmtId="179" fontId="16" fillId="4" borderId="1" xfId="0" applyNumberFormat="1" applyFont="1" applyFill="1" applyBorder="1" applyAlignment="1">
      <alignment horizontal="center" vertical="center"/>
    </xf>
    <xf numFmtId="180" fontId="16" fillId="0" borderId="1" xfId="0" applyNumberFormat="1" applyFont="1" applyFill="1" applyBorder="1" applyAlignment="1">
      <alignment horizontal="center" vertical="center"/>
    </xf>
    <xf numFmtId="180" fontId="0" fillId="0" borderId="0" xfId="0" applyNumberFormat="1">
      <alignment vertical="center"/>
    </xf>
    <xf numFmtId="183" fontId="16" fillId="0" borderId="0" xfId="0" applyNumberFormat="1" applyFont="1">
      <alignment vertical="center"/>
    </xf>
    <xf numFmtId="0" fontId="18" fillId="4" borderId="1" xfId="0" applyFont="1" applyFill="1" applyBorder="1" applyAlignment="1">
      <alignment horizontal="center" vertical="center"/>
    </xf>
    <xf numFmtId="0" fontId="31" fillId="0" borderId="1" xfId="0" applyFont="1" applyBorder="1" applyAlignment="1">
      <alignment horizontal="center" vertical="center" wrapText="1"/>
    </xf>
    <xf numFmtId="9" fontId="16" fillId="0" borderId="17" xfId="0" applyNumberFormat="1" applyFont="1" applyBorder="1" applyAlignment="1">
      <alignment horizontal="center" vertical="center"/>
    </xf>
    <xf numFmtId="0" fontId="16" fillId="0" borderId="23" xfId="0" applyFont="1" applyBorder="1" applyAlignment="1">
      <alignment horizontal="center" vertical="center"/>
    </xf>
    <xf numFmtId="9" fontId="16" fillId="0" borderId="15" xfId="0" applyNumberFormat="1" applyFont="1" applyBorder="1" applyAlignment="1">
      <alignment horizontal="center" vertical="center"/>
    </xf>
    <xf numFmtId="9" fontId="16" fillId="0" borderId="19" xfId="0" applyNumberFormat="1" applyFont="1" applyBorder="1" applyAlignment="1">
      <alignment horizontal="center" vertical="center"/>
    </xf>
    <xf numFmtId="184" fontId="0" fillId="0" borderId="0" xfId="0" applyNumberFormat="1">
      <alignment vertical="center"/>
    </xf>
    <xf numFmtId="0" fontId="2" fillId="5" borderId="0" xfId="0" applyFont="1" applyFill="1" applyAlignment="1">
      <alignment horizontal="center" vertical="center"/>
    </xf>
    <xf numFmtId="0" fontId="31" fillId="0" borderId="1" xfId="0" applyFont="1" applyBorder="1" applyAlignment="1">
      <alignment horizontal="center" vertical="center"/>
    </xf>
    <xf numFmtId="2" fontId="31" fillId="0" borderId="1" xfId="0" applyNumberFormat="1" applyFont="1" applyBorder="1" applyAlignment="1">
      <alignment horizontal="center" vertical="center" wrapText="1"/>
    </xf>
    <xf numFmtId="0" fontId="34" fillId="0" borderId="1" xfId="13" applyFont="1" applyBorder="1" applyAlignment="1">
      <alignment horizontal="center" vertical="center"/>
    </xf>
    <xf numFmtId="0" fontId="1" fillId="0" borderId="1" xfId="13" applyFont="1" applyBorder="1" applyAlignment="1">
      <alignment horizontal="center" vertical="center" wrapText="1"/>
    </xf>
    <xf numFmtId="0" fontId="34" fillId="0" borderId="1" xfId="13" applyFont="1" applyBorder="1" applyAlignment="1">
      <alignment horizontal="center" vertical="center" wrapText="1"/>
    </xf>
    <xf numFmtId="0" fontId="31" fillId="4" borderId="1" xfId="13" applyFont="1" applyFill="1" applyBorder="1" applyAlignment="1">
      <alignment horizontal="center" vertical="center" wrapText="1"/>
    </xf>
    <xf numFmtId="10" fontId="21" fillId="0" borderId="1" xfId="1" applyNumberFormat="1" applyFont="1" applyBorder="1" applyAlignment="1">
      <alignment horizontal="center" vertical="center" wrapText="1"/>
    </xf>
    <xf numFmtId="0" fontId="14" fillId="0" borderId="16" xfId="0" applyFont="1" applyBorder="1" applyAlignment="1">
      <alignment horizontal="center" vertical="center"/>
    </xf>
    <xf numFmtId="0" fontId="14" fillId="0" borderId="22" xfId="0" applyFont="1" applyBorder="1" applyAlignment="1">
      <alignment horizontal="center" vertical="center"/>
    </xf>
    <xf numFmtId="10" fontId="14" fillId="0" borderId="18" xfId="0" applyNumberFormat="1" applyFont="1" applyBorder="1" applyAlignment="1">
      <alignment horizontal="center" vertical="center"/>
    </xf>
    <xf numFmtId="0" fontId="16" fillId="0" borderId="0" xfId="0" applyFont="1" applyBorder="1">
      <alignment vertical="center"/>
    </xf>
    <xf numFmtId="0" fontId="0" fillId="0" borderId="0" xfId="0" applyBorder="1">
      <alignment vertical="center"/>
    </xf>
    <xf numFmtId="2" fontId="15" fillId="0"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16" fillId="0" borderId="1" xfId="0" applyFont="1" applyBorder="1" applyAlignment="1">
      <alignment horizontal="center" vertical="center"/>
    </xf>
    <xf numFmtId="10" fontId="16" fillId="0" borderId="11" xfId="0" applyNumberFormat="1" applyFont="1" applyBorder="1" applyAlignment="1">
      <alignment horizontal="center" vertical="center"/>
    </xf>
    <xf numFmtId="2" fontId="16" fillId="0" borderId="11" xfId="0" applyNumberFormat="1" applyFont="1" applyBorder="1" applyAlignment="1">
      <alignment horizontal="center" vertical="center"/>
    </xf>
    <xf numFmtId="0" fontId="16" fillId="0" borderId="11" xfId="0" applyFont="1" applyBorder="1" applyAlignment="1">
      <alignment horizontal="center" vertical="center"/>
    </xf>
    <xf numFmtId="2" fontId="16" fillId="0" borderId="1" xfId="0" applyNumberFormat="1" applyFont="1" applyBorder="1" applyAlignment="1">
      <alignment horizontal="center" vertical="center"/>
    </xf>
    <xf numFmtId="0" fontId="18" fillId="0" borderId="1" xfId="0" applyFont="1" applyBorder="1" applyAlignment="1">
      <alignment horizontal="center" vertical="center"/>
    </xf>
    <xf numFmtId="0" fontId="0" fillId="0" borderId="1" xfId="0"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178" fontId="21" fillId="4" borderId="1" xfId="6" applyNumberFormat="1" applyFont="1" applyFill="1" applyBorder="1" applyAlignment="1">
      <alignment horizontal="center" vertical="center"/>
    </xf>
    <xf numFmtId="0" fontId="18" fillId="4" borderId="27" xfId="0" applyFont="1" applyFill="1" applyBorder="1" applyAlignment="1">
      <alignment horizontal="left" vertical="center"/>
    </xf>
    <xf numFmtId="0" fontId="18" fillId="4" borderId="26" xfId="0" applyFont="1" applyFill="1" applyBorder="1" applyAlignment="1">
      <alignment horizontal="left" vertical="center"/>
    </xf>
    <xf numFmtId="178" fontId="25" fillId="4" borderId="1" xfId="6" applyNumberFormat="1" applyFont="1" applyFill="1" applyBorder="1" applyAlignment="1">
      <alignment horizontal="center" vertical="center"/>
    </xf>
    <xf numFmtId="9" fontId="0" fillId="0" borderId="1" xfId="0" applyNumberFormat="1" applyBorder="1" applyAlignment="1">
      <alignment horizontal="center" vertical="center"/>
    </xf>
    <xf numFmtId="2" fontId="18" fillId="0" borderId="1" xfId="0" applyNumberFormat="1" applyFont="1" applyBorder="1" applyAlignment="1">
      <alignment horizontal="center" vertical="center"/>
    </xf>
    <xf numFmtId="9" fontId="16" fillId="0" borderId="0" xfId="1" applyFont="1" applyBorder="1" applyAlignment="1">
      <alignment horizontal="center" vertical="center"/>
    </xf>
    <xf numFmtId="10" fontId="16" fillId="0" borderId="0" xfId="0" applyNumberFormat="1" applyFont="1" applyBorder="1" applyAlignment="1">
      <alignment horizontal="center" vertical="center"/>
    </xf>
    <xf numFmtId="10" fontId="16" fillId="0" borderId="0" xfId="1" applyNumberFormat="1" applyFont="1" applyBorder="1" applyAlignment="1">
      <alignment horizontal="center" vertical="center"/>
    </xf>
    <xf numFmtId="0" fontId="0" fillId="0" borderId="1" xfId="0" applyBorder="1">
      <alignment vertical="center"/>
    </xf>
    <xf numFmtId="0" fontId="31" fillId="0" borderId="1" xfId="13" applyFont="1" applyBorder="1" applyAlignment="1">
      <alignment horizontal="center" vertical="center"/>
    </xf>
    <xf numFmtId="0" fontId="31" fillId="4" borderId="1" xfId="13" applyFont="1" applyFill="1" applyBorder="1" applyAlignment="1">
      <alignment horizontal="center" vertical="center"/>
    </xf>
    <xf numFmtId="0" fontId="16" fillId="0" borderId="5" xfId="0" applyFont="1" applyBorder="1" applyAlignment="1">
      <alignment horizontal="center" vertical="center"/>
    </xf>
    <xf numFmtId="9" fontId="16" fillId="0" borderId="14" xfId="1" applyFont="1" applyBorder="1" applyAlignment="1">
      <alignment horizontal="center" vertical="center"/>
    </xf>
    <xf numFmtId="10" fontId="16" fillId="0" borderId="8" xfId="0" applyNumberFormat="1" applyFont="1" applyBorder="1" applyAlignment="1">
      <alignment horizontal="center" vertical="center"/>
    </xf>
    <xf numFmtId="10" fontId="16" fillId="0" borderId="5" xfId="0" applyNumberFormat="1" applyFont="1" applyBorder="1" applyAlignment="1">
      <alignment horizontal="center" vertical="center"/>
    </xf>
    <xf numFmtId="0" fontId="16" fillId="0" borderId="33" xfId="0" applyFont="1" applyBorder="1" applyAlignment="1">
      <alignment horizontal="center" vertical="center"/>
    </xf>
    <xf numFmtId="2" fontId="16" fillId="0" borderId="5" xfId="0" applyNumberFormat="1" applyFont="1" applyBorder="1" applyAlignment="1">
      <alignment horizontal="center" vertical="center"/>
    </xf>
    <xf numFmtId="0" fontId="2" fillId="0" borderId="1" xfId="13" applyBorder="1" applyAlignment="1">
      <alignment horizontal="center" vertical="center"/>
    </xf>
    <xf numFmtId="2" fontId="2" fillId="0" borderId="1" xfId="13" applyNumberFormat="1" applyBorder="1" applyAlignment="1">
      <alignment horizontal="center" vertical="center"/>
    </xf>
    <xf numFmtId="0" fontId="2" fillId="0" borderId="1" xfId="13" applyBorder="1">
      <alignment vertical="center"/>
    </xf>
    <xf numFmtId="2" fontId="2" fillId="0" borderId="0" xfId="1" applyNumberFormat="1" applyFont="1">
      <alignment vertical="center"/>
    </xf>
    <xf numFmtId="0" fontId="2" fillId="0" borderId="5" xfId="0" applyFont="1" applyBorder="1" applyAlignment="1">
      <alignment horizontal="center" vertical="center"/>
    </xf>
    <xf numFmtId="9" fontId="0" fillId="0" borderId="6" xfId="0" applyNumberFormat="1" applyBorder="1" applyAlignment="1">
      <alignment horizontal="center" vertical="center"/>
    </xf>
    <xf numFmtId="0" fontId="2" fillId="0" borderId="8" xfId="0" applyFont="1" applyBorder="1" applyAlignment="1">
      <alignment horizontal="center" vertical="center"/>
    </xf>
    <xf numFmtId="9" fontId="0" fillId="0" borderId="9" xfId="0" applyNumberFormat="1" applyBorder="1" applyAlignment="1">
      <alignment horizontal="center" vertical="center"/>
    </xf>
    <xf numFmtId="0" fontId="16" fillId="4" borderId="0" xfId="0" applyFont="1" applyFill="1" applyAlignment="1">
      <alignment horizontal="left" vertical="center"/>
    </xf>
    <xf numFmtId="0" fontId="0" fillId="0" borderId="0" xfId="0" applyBorder="1" applyAlignment="1">
      <alignment horizontal="center" vertical="center"/>
    </xf>
    <xf numFmtId="0" fontId="15" fillId="0" borderId="0"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18" fillId="4" borderId="2" xfId="0" applyFont="1" applyFill="1" applyBorder="1" applyAlignment="1">
      <alignment vertical="center"/>
    </xf>
    <xf numFmtId="176" fontId="16" fillId="4" borderId="2" xfId="0" applyNumberFormat="1" applyFont="1" applyFill="1" applyBorder="1" applyAlignment="1">
      <alignment horizontal="right" vertical="center"/>
    </xf>
    <xf numFmtId="0" fontId="16" fillId="4" borderId="27"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1" xfId="0" applyFont="1" applyFill="1" applyBorder="1" applyAlignment="1">
      <alignment horizontal="center" vertical="center"/>
    </xf>
    <xf numFmtId="0" fontId="16" fillId="0" borderId="29" xfId="0" applyFont="1" applyBorder="1">
      <alignment vertical="center"/>
    </xf>
    <xf numFmtId="0" fontId="16" fillId="0" borderId="28" xfId="0" applyFont="1" applyBorder="1">
      <alignment vertical="center"/>
    </xf>
    <xf numFmtId="177" fontId="19" fillId="4" borderId="33" xfId="12" applyNumberFormat="1" applyFont="1" applyFill="1" applyBorder="1" applyAlignment="1">
      <alignment horizontal="center" vertical="center" wrapText="1"/>
    </xf>
    <xf numFmtId="177" fontId="19" fillId="4" borderId="11" xfId="12" applyNumberFormat="1" applyFont="1" applyFill="1" applyBorder="1" applyAlignment="1">
      <alignment horizontal="left" vertical="center" wrapText="1"/>
    </xf>
    <xf numFmtId="180" fontId="16" fillId="4" borderId="26" xfId="0" applyNumberFormat="1" applyFont="1" applyFill="1" applyBorder="1" applyAlignment="1">
      <alignment horizontal="center" vertical="center"/>
    </xf>
    <xf numFmtId="10" fontId="18" fillId="4" borderId="26" xfId="1" applyNumberFormat="1" applyFont="1" applyFill="1" applyBorder="1" applyAlignment="1">
      <alignment horizontal="left" vertical="center"/>
    </xf>
    <xf numFmtId="0" fontId="16" fillId="4" borderId="20" xfId="0" applyFont="1" applyFill="1" applyBorder="1" applyAlignment="1">
      <alignment horizontal="center" vertical="center"/>
    </xf>
    <xf numFmtId="180" fontId="18" fillId="4" borderId="21" xfId="0" applyNumberFormat="1" applyFont="1" applyFill="1" applyBorder="1" applyAlignment="1">
      <alignment horizontal="center" vertical="center"/>
    </xf>
    <xf numFmtId="10" fontId="0" fillId="0" borderId="1" xfId="0" applyNumberFormat="1" applyBorder="1">
      <alignment vertical="center"/>
    </xf>
    <xf numFmtId="0" fontId="2" fillId="4" borderId="1" xfId="13" applyFill="1" applyBorder="1">
      <alignment vertical="center"/>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Border="1" applyAlignment="1">
      <alignment horizontal="center" vertical="center"/>
    </xf>
    <xf numFmtId="0" fontId="18" fillId="4"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8" fillId="4" borderId="1" xfId="0" applyFont="1" applyFill="1" applyBorder="1" applyAlignment="1">
      <alignment horizontal="center" vertical="center"/>
    </xf>
    <xf numFmtId="2" fontId="16" fillId="0" borderId="1" xfId="0" applyNumberFormat="1" applyFont="1" applyBorder="1" applyAlignment="1">
      <alignment horizontal="center" vertical="center" wrapText="1"/>
    </xf>
    <xf numFmtId="0" fontId="16" fillId="4" borderId="26"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1" xfId="0" applyFont="1" applyFill="1" applyBorder="1" applyAlignment="1">
      <alignment horizontal="center" vertical="center"/>
    </xf>
    <xf numFmtId="177" fontId="24" fillId="4" borderId="1" xfId="6" applyNumberFormat="1" applyFont="1" applyFill="1" applyBorder="1" applyAlignment="1">
      <alignment horizontal="center" vertical="center"/>
    </xf>
    <xf numFmtId="0" fontId="16" fillId="4" borderId="1" xfId="0" applyFont="1" applyFill="1" applyBorder="1" applyAlignment="1">
      <alignment horizontal="center"/>
    </xf>
    <xf numFmtId="177" fontId="16" fillId="4" borderId="11" xfId="0" applyNumberFormat="1" applyFont="1" applyFill="1" applyBorder="1" applyAlignment="1">
      <alignment horizontal="center" vertical="center"/>
    </xf>
    <xf numFmtId="176" fontId="16" fillId="0" borderId="0" xfId="0" applyNumberFormat="1" applyFont="1">
      <alignment vertical="center"/>
    </xf>
    <xf numFmtId="2" fontId="16" fillId="0" borderId="1" xfId="0" applyNumberFormat="1" applyFont="1" applyBorder="1">
      <alignment vertical="center"/>
    </xf>
    <xf numFmtId="177" fontId="18" fillId="4" borderId="0" xfId="0" applyNumberFormat="1" applyFont="1" applyFill="1" applyBorder="1" applyAlignment="1">
      <alignment horizontal="left" vertical="center"/>
    </xf>
    <xf numFmtId="0" fontId="18" fillId="4" borderId="0" xfId="0" applyFont="1" applyFill="1" applyBorder="1" applyAlignment="1">
      <alignment horizontal="left" vertical="center"/>
    </xf>
    <xf numFmtId="0" fontId="24" fillId="4" borderId="27" xfId="0" applyFont="1" applyFill="1" applyBorder="1">
      <alignment vertical="center"/>
    </xf>
    <xf numFmtId="177" fontId="20" fillId="4" borderId="26" xfId="0" applyNumberFormat="1" applyFont="1" applyFill="1" applyBorder="1" applyAlignment="1">
      <alignment horizontal="right" vertical="center"/>
    </xf>
    <xf numFmtId="177" fontId="20" fillId="4" borderId="29" xfId="0" applyNumberFormat="1" applyFont="1" applyFill="1" applyBorder="1" applyAlignment="1">
      <alignment horizontal="right" vertical="center"/>
    </xf>
    <xf numFmtId="0" fontId="24" fillId="4" borderId="20" xfId="0" applyFont="1" applyFill="1" applyBorder="1">
      <alignment vertical="center"/>
    </xf>
    <xf numFmtId="177" fontId="20" fillId="4" borderId="21" xfId="0" applyNumberFormat="1" applyFont="1" applyFill="1" applyBorder="1" applyAlignment="1">
      <alignment horizontal="right" vertical="center"/>
    </xf>
    <xf numFmtId="177" fontId="20" fillId="4" borderId="28" xfId="0" applyNumberFormat="1" applyFont="1" applyFill="1" applyBorder="1" applyAlignment="1">
      <alignment horizontal="right" vertical="center"/>
    </xf>
    <xf numFmtId="2" fontId="16" fillId="0" borderId="0" xfId="0" applyNumberFormat="1" applyFont="1">
      <alignment vertical="center"/>
    </xf>
    <xf numFmtId="186" fontId="16" fillId="0" borderId="1" xfId="0" applyNumberFormat="1" applyFont="1" applyBorder="1">
      <alignment vertical="center"/>
    </xf>
    <xf numFmtId="2" fontId="0" fillId="0" borderId="0" xfId="0" applyNumberFormat="1">
      <alignment vertical="center"/>
    </xf>
    <xf numFmtId="0" fontId="17" fillId="0" borderId="1" xfId="13" applyFont="1" applyFill="1" applyBorder="1" applyAlignment="1">
      <alignment horizontal="center" vertical="center" wrapText="1"/>
    </xf>
    <xf numFmtId="2" fontId="14" fillId="0" borderId="1" xfId="13" applyNumberFormat="1" applyFont="1" applyFill="1" applyBorder="1" applyAlignment="1">
      <alignment horizontal="center" vertical="center"/>
    </xf>
    <xf numFmtId="182" fontId="14" fillId="0" borderId="24" xfId="0" applyNumberFormat="1" applyFont="1" applyBorder="1" applyAlignment="1">
      <alignment horizontal="center" vertical="center"/>
    </xf>
    <xf numFmtId="0" fontId="36" fillId="0" borderId="1" xfId="0" applyFont="1" applyBorder="1" applyAlignment="1">
      <alignment vertical="center" wrapText="1"/>
    </xf>
    <xf numFmtId="187" fontId="3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41" fillId="0" borderId="1" xfId="0" applyFont="1" applyBorder="1" applyAlignment="1">
      <alignment horizontal="center" vertical="center" wrapText="1"/>
    </xf>
    <xf numFmtId="2" fontId="41" fillId="0" borderId="1" xfId="0" applyNumberFormat="1" applyFont="1" applyBorder="1" applyAlignment="1">
      <alignment horizontal="center" vertical="center" wrapText="1"/>
    </xf>
    <xf numFmtId="177" fontId="0" fillId="0" borderId="0" xfId="0" applyNumberFormat="1">
      <alignment vertical="center"/>
    </xf>
    <xf numFmtId="184" fontId="42" fillId="0" borderId="0" xfId="0" applyNumberFormat="1" applyFont="1">
      <alignment vertical="center"/>
    </xf>
    <xf numFmtId="0" fontId="0" fillId="0" borderId="1" xfId="0" applyBorder="1" applyAlignment="1">
      <alignment horizontal="center" vertical="center"/>
    </xf>
    <xf numFmtId="0" fontId="18" fillId="4" borderId="1" xfId="0" applyFont="1" applyFill="1" applyBorder="1" applyAlignment="1">
      <alignment horizontal="center" vertical="center"/>
    </xf>
    <xf numFmtId="178" fontId="21" fillId="4" borderId="1" xfId="6" applyNumberFormat="1" applyFont="1" applyFill="1" applyBorder="1" applyAlignment="1">
      <alignment horizontal="center" vertical="center"/>
    </xf>
    <xf numFmtId="178" fontId="25" fillId="4" borderId="1" xfId="6" applyNumberFormat="1" applyFont="1" applyFill="1" applyBorder="1" applyAlignment="1">
      <alignment horizontal="center" vertical="center"/>
    </xf>
    <xf numFmtId="0" fontId="16" fillId="0" borderId="1" xfId="0" applyFont="1" applyBorder="1" applyAlignment="1">
      <alignment horizontal="center" vertical="center"/>
    </xf>
    <xf numFmtId="10" fontId="16" fillId="0" borderId="1" xfId="1" applyNumberFormat="1" applyFont="1" applyBorder="1" applyAlignment="1">
      <alignment horizontal="center" vertical="center"/>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16" fillId="4" borderId="26" xfId="0" applyFont="1" applyFill="1" applyBorder="1" applyAlignment="1">
      <alignment horizontal="center" vertical="center"/>
    </xf>
    <xf numFmtId="0" fontId="16" fillId="4" borderId="29" xfId="0" applyFont="1" applyFill="1" applyBorder="1" applyAlignment="1">
      <alignment horizontal="center" vertical="center"/>
    </xf>
    <xf numFmtId="0" fontId="18" fillId="4" borderId="20" xfId="0" applyFont="1" applyFill="1" applyBorder="1" applyAlignment="1">
      <alignment horizontal="center" vertical="center"/>
    </xf>
    <xf numFmtId="0" fontId="16" fillId="0" borderId="17" xfId="0" applyFont="1" applyBorder="1" applyAlignment="1">
      <alignment horizontal="center" vertical="center"/>
    </xf>
    <xf numFmtId="0" fontId="20" fillId="4" borderId="1" xfId="2" applyFont="1" applyFill="1" applyBorder="1" applyAlignment="1">
      <alignment horizontal="center" vertical="center" wrapText="1"/>
    </xf>
    <xf numFmtId="177" fontId="20" fillId="4" borderId="0" xfId="0" applyNumberFormat="1" applyFont="1" applyFill="1" applyBorder="1" applyAlignment="1">
      <alignment horizontal="right" vertical="center"/>
    </xf>
    <xf numFmtId="0" fontId="16" fillId="4" borderId="28" xfId="0" applyFont="1" applyFill="1" applyBorder="1" applyAlignment="1">
      <alignment horizontal="center" vertical="center"/>
    </xf>
    <xf numFmtId="0" fontId="16" fillId="4" borderId="0" xfId="0" applyFont="1" applyFill="1" applyBorder="1" applyAlignment="1">
      <alignment horizontal="right" vertical="center"/>
    </xf>
    <xf numFmtId="0" fontId="16" fillId="4" borderId="0" xfId="0" applyFont="1" applyFill="1" applyBorder="1" applyAlignment="1"/>
    <xf numFmtId="177" fontId="16" fillId="4" borderId="1" xfId="0" applyNumberFormat="1" applyFont="1" applyFill="1" applyBorder="1" applyAlignment="1">
      <alignment horizontal="right" vertical="center"/>
    </xf>
    <xf numFmtId="0" fontId="16" fillId="0" borderId="21" xfId="0" applyFont="1" applyBorder="1">
      <alignment vertical="center"/>
    </xf>
    <xf numFmtId="0" fontId="16" fillId="0" borderId="26" xfId="0" applyFont="1" applyBorder="1">
      <alignment vertical="center"/>
    </xf>
    <xf numFmtId="0" fontId="16" fillId="4" borderId="29" xfId="0" applyFont="1" applyFill="1" applyBorder="1" applyAlignment="1">
      <alignment horizontal="left" indent="1"/>
    </xf>
    <xf numFmtId="0" fontId="16" fillId="4" borderId="28" xfId="0" applyFont="1" applyFill="1" applyBorder="1" applyAlignment="1">
      <alignment horizontal="left" indent="1"/>
    </xf>
    <xf numFmtId="0" fontId="26" fillId="4" borderId="29" xfId="0" applyFont="1" applyFill="1" applyBorder="1" applyAlignment="1"/>
    <xf numFmtId="0" fontId="26" fillId="4" borderId="28" xfId="0" applyFont="1" applyFill="1" applyBorder="1" applyAlignment="1"/>
    <xf numFmtId="1" fontId="16" fillId="0" borderId="1" xfId="0" applyNumberFormat="1" applyFont="1" applyBorder="1" applyAlignment="1">
      <alignment horizontal="center" vertical="center"/>
    </xf>
    <xf numFmtId="176" fontId="16" fillId="4" borderId="11" xfId="0" applyNumberFormat="1" applyFont="1" applyFill="1" applyBorder="1" applyAlignment="1">
      <alignment horizontal="center" vertical="center"/>
    </xf>
    <xf numFmtId="176" fontId="22" fillId="4" borderId="21" xfId="0" applyNumberFormat="1" applyFont="1" applyFill="1" applyBorder="1" applyAlignment="1">
      <alignment horizontal="center" vertical="center"/>
    </xf>
    <xf numFmtId="176" fontId="22" fillId="4" borderId="26" xfId="0" applyNumberFormat="1" applyFont="1" applyFill="1" applyBorder="1" applyAlignment="1">
      <alignment horizontal="center" vertical="center"/>
    </xf>
    <xf numFmtId="2" fontId="22" fillId="4" borderId="26" xfId="0" applyNumberFormat="1" applyFont="1" applyFill="1" applyBorder="1" applyAlignment="1">
      <alignment horizontal="center" vertical="center"/>
    </xf>
    <xf numFmtId="0" fontId="20" fillId="4" borderId="11" xfId="3" applyFont="1" applyFill="1" applyBorder="1" applyAlignment="1">
      <alignment horizontal="center" vertical="center"/>
    </xf>
    <xf numFmtId="179" fontId="16" fillId="4" borderId="11" xfId="2" applyNumberFormat="1" applyFont="1" applyFill="1" applyBorder="1" applyAlignment="1">
      <alignment horizontal="center" vertical="center"/>
    </xf>
    <xf numFmtId="0" fontId="20" fillId="4" borderId="11" xfId="2" applyFont="1" applyFill="1" applyBorder="1" applyAlignment="1">
      <alignment horizontal="center" vertical="center" wrapText="1"/>
    </xf>
    <xf numFmtId="0" fontId="18" fillId="4" borderId="27" xfId="0" applyFont="1" applyFill="1" applyBorder="1" applyAlignment="1">
      <alignment horizontal="center" vertical="center"/>
    </xf>
    <xf numFmtId="2" fontId="22" fillId="4" borderId="29" xfId="0" applyNumberFormat="1" applyFont="1" applyFill="1" applyBorder="1" applyAlignment="1">
      <alignment horizontal="center" vertical="center"/>
    </xf>
    <xf numFmtId="176" fontId="22" fillId="4" borderId="28" xfId="0" applyNumberFormat="1" applyFont="1" applyFill="1" applyBorder="1" applyAlignment="1">
      <alignment horizontal="center" vertical="center"/>
    </xf>
    <xf numFmtId="2" fontId="16" fillId="0" borderId="1" xfId="0" applyNumberFormat="1" applyFont="1" applyBorder="1" applyAlignment="1">
      <alignment horizontal="center" vertical="center" wrapText="1"/>
    </xf>
    <xf numFmtId="2" fontId="31" fillId="0" borderId="1" xfId="0" applyNumberFormat="1" applyFont="1" applyBorder="1" applyAlignment="1">
      <alignment horizontal="center" vertical="center"/>
    </xf>
    <xf numFmtId="10" fontId="14" fillId="0" borderId="24" xfId="1" applyNumberFormat="1" applyFont="1" applyBorder="1" applyAlignment="1">
      <alignment horizontal="center" vertical="center"/>
    </xf>
    <xf numFmtId="0" fontId="16" fillId="0" borderId="19" xfId="0" applyFont="1" applyBorder="1" applyAlignment="1">
      <alignment horizontal="center" vertical="center"/>
    </xf>
    <xf numFmtId="9" fontId="16" fillId="0" borderId="1" xfId="0" applyNumberFormat="1" applyFont="1" applyBorder="1" applyAlignment="1">
      <alignment horizontal="center" vertical="center" wrapText="1"/>
    </xf>
    <xf numFmtId="2" fontId="0" fillId="0" borderId="0" xfId="0" applyNumberFormat="1" applyAlignment="1">
      <alignment horizontal="center" vertical="center"/>
    </xf>
    <xf numFmtId="177" fontId="0" fillId="0" borderId="0" xfId="0" applyNumberFormat="1" applyAlignment="1">
      <alignment horizontal="center" vertical="center"/>
    </xf>
    <xf numFmtId="0" fontId="18" fillId="0" borderId="0" xfId="0" applyFont="1" applyAlignment="1">
      <alignment horizontal="center" vertical="center"/>
    </xf>
    <xf numFmtId="9" fontId="18" fillId="0" borderId="1" xfId="0" applyNumberFormat="1" applyFont="1" applyBorder="1" applyAlignment="1">
      <alignment horizontal="center" vertical="center"/>
    </xf>
    <xf numFmtId="1"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6" fillId="0" borderId="1" xfId="0" applyFont="1" applyBorder="1" applyAlignment="1">
      <alignment horizontal="center" vertical="center"/>
    </xf>
    <xf numFmtId="179" fontId="19" fillId="0" borderId="1" xfId="2" applyNumberFormat="1" applyFont="1" applyFill="1" applyBorder="1" applyAlignment="1">
      <alignment horizontal="center" vertical="center" wrapText="1"/>
    </xf>
    <xf numFmtId="0" fontId="0" fillId="0" borderId="0" xfId="0" applyAlignment="1">
      <alignment horizontal="center"/>
    </xf>
    <xf numFmtId="178" fontId="16" fillId="0" borderId="1" xfId="0" applyNumberFormat="1" applyFont="1" applyBorder="1" applyAlignment="1">
      <alignment horizontal="center" vertical="center"/>
    </xf>
    <xf numFmtId="10" fontId="16" fillId="0" borderId="1" xfId="1" applyNumberFormat="1" applyFont="1" applyBorder="1" applyAlignment="1">
      <alignment horizontal="center" vertical="center"/>
    </xf>
    <xf numFmtId="0" fontId="18" fillId="0" borderId="1" xfId="0" applyFont="1" applyBorder="1" applyAlignment="1">
      <alignment horizontal="center" vertical="center"/>
    </xf>
    <xf numFmtId="1"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4" fillId="0" borderId="1" xfId="13" applyFont="1" applyBorder="1" applyAlignment="1">
      <alignment horizontal="center" vertical="center"/>
    </xf>
    <xf numFmtId="0" fontId="14" fillId="0" borderId="0" xfId="13" applyFont="1" applyBorder="1" applyAlignment="1">
      <alignment horizontal="center" vertical="center"/>
    </xf>
    <xf numFmtId="0" fontId="30" fillId="0" borderId="0" xfId="13" applyFont="1" applyBorder="1" applyAlignment="1">
      <alignment horizontal="center" vertical="center" wrapText="1"/>
    </xf>
    <xf numFmtId="0" fontId="2" fillId="0" borderId="0" xfId="13" applyBorder="1" applyAlignment="1">
      <alignment horizontal="center" vertical="center"/>
    </xf>
    <xf numFmtId="0" fontId="2" fillId="5" borderId="0" xfId="13" applyFill="1">
      <alignment vertical="center"/>
    </xf>
    <xf numFmtId="177" fontId="2" fillId="0" borderId="0" xfId="13" applyNumberFormat="1" applyAlignment="1">
      <alignment horizontal="center" vertical="center"/>
    </xf>
    <xf numFmtId="0" fontId="14" fillId="0" borderId="1" xfId="13" applyFont="1" applyBorder="1" applyAlignment="1">
      <alignment horizontal="center" vertical="center"/>
    </xf>
    <xf numFmtId="0" fontId="16"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176" fontId="2" fillId="0" borderId="0" xfId="1" applyNumberFormat="1" applyFont="1">
      <alignment vertical="center"/>
    </xf>
    <xf numFmtId="176" fontId="2" fillId="0" borderId="0" xfId="13" applyNumberFormat="1" applyAlignment="1">
      <alignment horizontal="center" vertical="center"/>
    </xf>
    <xf numFmtId="10" fontId="2" fillId="0" borderId="0" xfId="1" applyNumberFormat="1" applyFont="1" applyAlignment="1">
      <alignment horizontal="center" vertical="center"/>
    </xf>
    <xf numFmtId="176" fontId="2" fillId="0" borderId="0" xfId="13" applyNumberFormat="1">
      <alignment vertical="center"/>
    </xf>
    <xf numFmtId="0" fontId="14"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13" applyBorder="1" applyAlignment="1">
      <alignment horizontal="center" vertical="center" wrapText="1"/>
    </xf>
    <xf numFmtId="0" fontId="2" fillId="0" borderId="1" xfId="13" applyBorder="1" applyAlignment="1">
      <alignment vertical="center" wrapText="1"/>
    </xf>
    <xf numFmtId="0" fontId="14" fillId="0" borderId="1" xfId="13"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177" fontId="16" fillId="0" borderId="0" xfId="0" applyNumberFormat="1" applyFont="1">
      <alignment vertical="center"/>
    </xf>
    <xf numFmtId="1" fontId="0" fillId="0" borderId="0" xfId="0" applyNumberFormat="1" applyAlignment="1">
      <alignment horizontal="center" vertical="center"/>
    </xf>
    <xf numFmtId="0" fontId="14" fillId="0" borderId="1" xfId="0" applyFont="1" applyBorder="1" applyAlignment="1">
      <alignment horizontal="center" vertical="center" wrapText="1"/>
    </xf>
    <xf numFmtId="180" fontId="0" fillId="5" borderId="0" xfId="0" applyNumberFormat="1" applyFill="1">
      <alignment vertical="center"/>
    </xf>
    <xf numFmtId="0" fontId="16" fillId="5" borderId="1" xfId="0" applyFont="1" applyFill="1" applyBorder="1" applyAlignment="1">
      <alignment horizontal="center" vertical="center"/>
    </xf>
    <xf numFmtId="180" fontId="16" fillId="5" borderId="1" xfId="0" applyNumberFormat="1" applyFont="1" applyFill="1" applyBorder="1" applyAlignment="1">
      <alignment horizontal="center" vertical="center"/>
    </xf>
    <xf numFmtId="0" fontId="0" fillId="5" borderId="0" xfId="0" applyFill="1">
      <alignment vertical="center"/>
    </xf>
    <xf numFmtId="2"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10" fontId="14"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31"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0" fillId="0" borderId="0" xfId="0" applyProtection="1">
      <alignment vertical="center"/>
      <protection locked="0"/>
    </xf>
    <xf numFmtId="0" fontId="16" fillId="0" borderId="0" xfId="0" applyFont="1"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45" fillId="0" borderId="1" xfId="0" applyNumberFormat="1" applyFont="1" applyFill="1" applyBorder="1" applyAlignment="1" applyProtection="1">
      <alignment horizontal="center" vertical="center" wrapText="1"/>
    </xf>
    <xf numFmtId="2" fontId="45" fillId="0" borderId="1" xfId="0" applyNumberFormat="1" applyFont="1" applyFill="1" applyBorder="1" applyAlignment="1" applyProtection="1">
      <alignment horizontal="center" vertical="center" wrapText="1"/>
    </xf>
    <xf numFmtId="2" fontId="31" fillId="0" borderId="1" xfId="0" applyNumberFormat="1" applyFont="1" applyBorder="1" applyAlignment="1" applyProtection="1">
      <alignment horizontal="center" vertical="center"/>
    </xf>
    <xf numFmtId="0" fontId="31" fillId="0" borderId="1" xfId="0" applyFont="1" applyBorder="1" applyProtection="1">
      <alignment vertical="center"/>
    </xf>
    <xf numFmtId="0" fontId="45" fillId="0" borderId="1" xfId="0" applyNumberFormat="1" applyFont="1" applyFill="1" applyBorder="1" applyAlignment="1">
      <alignment horizontal="center" vertical="center" wrapText="1"/>
    </xf>
    <xf numFmtId="2" fontId="46" fillId="5" borderId="1" xfId="0" applyNumberFormat="1" applyFont="1" applyFill="1" applyBorder="1" applyAlignment="1" applyProtection="1">
      <alignment horizontal="center" vertical="center"/>
      <protection locked="0"/>
    </xf>
    <xf numFmtId="0" fontId="46" fillId="5" borderId="1" xfId="0" applyFont="1" applyFill="1" applyBorder="1" applyAlignment="1" applyProtection="1">
      <alignment horizontal="center" vertical="center"/>
      <protection locked="0"/>
    </xf>
    <xf numFmtId="9" fontId="46" fillId="5" borderId="1" xfId="0" applyNumberFormat="1" applyFont="1" applyFill="1" applyBorder="1" applyAlignment="1" applyProtection="1">
      <alignment horizontal="center" vertical="center"/>
      <protection locked="0"/>
    </xf>
    <xf numFmtId="10" fontId="48" fillId="5" borderId="1" xfId="0" applyNumberFormat="1"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182" fontId="46" fillId="5" borderId="1" xfId="1" applyNumberFormat="1" applyFont="1" applyFill="1" applyBorder="1" applyAlignment="1" applyProtection="1">
      <alignment horizontal="center" vertical="center"/>
      <protection locked="0"/>
    </xf>
    <xf numFmtId="0" fontId="31" fillId="0" borderId="1" xfId="0" applyFont="1" applyBorder="1" applyAlignment="1" applyProtection="1">
      <alignment horizontal="center" vertical="center"/>
    </xf>
    <xf numFmtId="2" fontId="9" fillId="0" borderId="1" xfId="0" applyNumberFormat="1" applyFont="1" applyFill="1" applyBorder="1" applyAlignment="1" applyProtection="1">
      <alignment horizontal="center" vertical="center"/>
    </xf>
    <xf numFmtId="0" fontId="31" fillId="0" borderId="1" xfId="0" applyFont="1" applyBorder="1" applyAlignment="1" applyProtection="1">
      <alignment horizontal="center" vertical="center" wrapText="1"/>
    </xf>
    <xf numFmtId="0" fontId="9" fillId="4" borderId="1" xfId="3" applyFont="1" applyFill="1" applyBorder="1" applyAlignment="1" applyProtection="1">
      <alignment horizontal="center" vertical="center" wrapText="1"/>
    </xf>
    <xf numFmtId="0" fontId="31" fillId="0" borderId="11" xfId="0" applyFont="1" applyBorder="1" applyAlignment="1" applyProtection="1">
      <alignment horizontal="center" vertical="center"/>
    </xf>
    <xf numFmtId="0" fontId="31" fillId="0" borderId="0" xfId="0" applyFont="1" applyProtection="1">
      <alignment vertical="center"/>
    </xf>
    <xf numFmtId="0" fontId="31" fillId="0" borderId="0" xfId="0" applyFont="1" applyBorder="1" applyAlignment="1" applyProtection="1">
      <alignment horizontal="center" vertical="center"/>
    </xf>
    <xf numFmtId="0" fontId="45" fillId="0" borderId="0" xfId="0" applyNumberFormat="1" applyFont="1" applyFill="1" applyBorder="1" applyAlignment="1" applyProtection="1">
      <alignment horizontal="center" vertical="center" wrapText="1"/>
    </xf>
    <xf numFmtId="2" fontId="45" fillId="0" borderId="0" xfId="0" applyNumberFormat="1" applyFont="1" applyFill="1" applyBorder="1" applyAlignment="1" applyProtection="1">
      <alignment horizontal="center" vertical="center" wrapText="1"/>
    </xf>
    <xf numFmtId="2" fontId="31" fillId="0" borderId="0" xfId="0" applyNumberFormat="1" applyFont="1" applyBorder="1" applyAlignment="1" applyProtection="1">
      <alignment horizontal="center" vertical="center"/>
    </xf>
    <xf numFmtId="0" fontId="31" fillId="0" borderId="0" xfId="0" applyFont="1" applyBorder="1" applyProtection="1">
      <alignment vertical="center"/>
    </xf>
    <xf numFmtId="9" fontId="31" fillId="0" borderId="1" xfId="0" applyNumberFormat="1" applyFont="1" applyBorder="1" applyAlignment="1" applyProtection="1">
      <alignment horizontal="center" vertical="center"/>
    </xf>
    <xf numFmtId="0" fontId="31" fillId="0" borderId="0" xfId="0" applyFont="1" applyBorder="1" applyAlignment="1" applyProtection="1"/>
    <xf numFmtId="0" fontId="31" fillId="0" borderId="0" xfId="0" applyFont="1" applyAlignment="1" applyProtection="1"/>
    <xf numFmtId="9" fontId="31" fillId="0" borderId="0" xfId="0" applyNumberFormat="1" applyFont="1" applyBorder="1" applyAlignment="1" applyProtection="1">
      <alignment horizontal="center" vertical="center"/>
    </xf>
    <xf numFmtId="0" fontId="31" fillId="0" borderId="0" xfId="0" applyFont="1" applyBorder="1" applyAlignment="1" applyProtection="1">
      <alignment horizontal="center" vertical="center" wrapText="1"/>
    </xf>
    <xf numFmtId="9" fontId="31" fillId="0" borderId="0" xfId="0" applyNumberFormat="1" applyFont="1" applyBorder="1" applyAlignment="1" applyProtection="1">
      <alignment horizontal="center"/>
    </xf>
    <xf numFmtId="0" fontId="44" fillId="0" borderId="1" xfId="0" applyFont="1" applyBorder="1" applyAlignment="1" applyProtection="1">
      <alignment horizontal="center" vertical="center" wrapText="1"/>
    </xf>
    <xf numFmtId="0" fontId="44" fillId="0" borderId="1" xfId="0" applyFont="1" applyFill="1" applyBorder="1" applyAlignment="1" applyProtection="1">
      <alignment horizontal="center" vertical="center" wrapText="1"/>
    </xf>
    <xf numFmtId="0" fontId="45" fillId="0" borderId="1" xfId="0" applyFont="1" applyBorder="1" applyAlignment="1" applyProtection="1">
      <alignment horizontal="center" vertical="center" wrapText="1"/>
    </xf>
    <xf numFmtId="1" fontId="31" fillId="0" borderId="1" xfId="0" applyNumberFormat="1" applyFont="1" applyBorder="1" applyAlignment="1" applyProtection="1">
      <alignment horizontal="center" vertical="center"/>
    </xf>
    <xf numFmtId="0" fontId="31" fillId="0" borderId="0" xfId="0" applyFont="1" applyBorder="1" applyAlignment="1" applyProtection="1">
      <alignment vertical="center" wrapText="1"/>
    </xf>
    <xf numFmtId="0" fontId="31" fillId="0" borderId="0" xfId="0" applyFont="1" applyAlignment="1" applyProtection="1">
      <alignment vertical="center" wrapText="1"/>
    </xf>
    <xf numFmtId="0" fontId="0" fillId="0" borderId="0" xfId="0" applyProtection="1">
      <alignment vertical="center"/>
    </xf>
    <xf numFmtId="0" fontId="37" fillId="0" borderId="0" xfId="0" applyFont="1" applyAlignment="1" applyProtection="1">
      <alignment vertical="center" wrapText="1"/>
    </xf>
    <xf numFmtId="2" fontId="9" fillId="4" borderId="1" xfId="0" applyNumberFormat="1" applyFont="1" applyFill="1" applyBorder="1" applyAlignment="1" applyProtection="1">
      <alignment horizontal="center" vertical="center"/>
    </xf>
    <xf numFmtId="2" fontId="31" fillId="0" borderId="0" xfId="0" applyNumberFormat="1" applyFont="1" applyAlignment="1" applyProtection="1">
      <alignment horizontal="center" vertical="center"/>
    </xf>
    <xf numFmtId="0" fontId="8" fillId="0" borderId="0" xfId="0" applyFont="1" applyProtection="1">
      <alignment vertical="center"/>
    </xf>
    <xf numFmtId="0" fontId="42" fillId="0" borderId="16" xfId="0" applyFont="1" applyBorder="1" applyAlignment="1" applyProtection="1">
      <alignment horizontal="center" vertical="center"/>
    </xf>
    <xf numFmtId="0" fontId="42" fillId="0" borderId="22" xfId="0" applyFont="1" applyBorder="1" applyAlignment="1" applyProtection="1">
      <alignment horizontal="center" vertical="center"/>
    </xf>
    <xf numFmtId="0" fontId="34" fillId="0" borderId="17" xfId="0" applyFont="1" applyBorder="1" applyAlignment="1" applyProtection="1">
      <alignment horizontal="center" vertical="center"/>
    </xf>
    <xf numFmtId="10" fontId="42" fillId="0" borderId="18" xfId="0" applyNumberFormat="1" applyFont="1" applyBorder="1" applyAlignment="1" applyProtection="1">
      <alignment horizontal="center" vertical="center"/>
    </xf>
    <xf numFmtId="9" fontId="42" fillId="0" borderId="24" xfId="0" applyNumberFormat="1" applyFont="1" applyBorder="1" applyAlignment="1" applyProtection="1">
      <alignment horizontal="center" vertical="center"/>
    </xf>
    <xf numFmtId="10" fontId="42" fillId="0" borderId="24" xfId="1" applyNumberFormat="1" applyFont="1" applyBorder="1" applyAlignment="1" applyProtection="1">
      <alignment horizontal="center" vertical="center"/>
    </xf>
    <xf numFmtId="179" fontId="34" fillId="0" borderId="19" xfId="1" applyNumberFormat="1" applyFont="1" applyBorder="1" applyAlignment="1" applyProtection="1">
      <alignment horizontal="center" vertical="center"/>
    </xf>
    <xf numFmtId="0" fontId="47" fillId="4" borderId="1" xfId="0" applyFont="1" applyFill="1" applyBorder="1" applyAlignment="1" applyProtection="1">
      <alignment horizontal="center" vertical="center"/>
    </xf>
    <xf numFmtId="176" fontId="0" fillId="0" borderId="0" xfId="0" applyNumberFormat="1" applyProtection="1">
      <alignment vertical="center"/>
    </xf>
    <xf numFmtId="0" fontId="47" fillId="4" borderId="1" xfId="0" applyFont="1" applyFill="1" applyBorder="1" applyAlignment="1" applyProtection="1">
      <alignment horizontal="left" vertical="center" wrapText="1"/>
    </xf>
    <xf numFmtId="0" fontId="47" fillId="4" borderId="1" xfId="0" applyFont="1" applyFill="1" applyBorder="1" applyAlignment="1" applyProtection="1">
      <alignment horizontal="center" vertical="center" wrapText="1"/>
    </xf>
    <xf numFmtId="176" fontId="47" fillId="4" borderId="1" xfId="0" applyNumberFormat="1" applyFont="1" applyFill="1" applyBorder="1" applyAlignment="1" applyProtection="1">
      <alignment horizontal="right" vertical="center"/>
    </xf>
    <xf numFmtId="0" fontId="47" fillId="4" borderId="1" xfId="0" applyFont="1" applyFill="1" applyBorder="1" applyAlignment="1" applyProtection="1">
      <alignment horizontal="left" vertical="center"/>
    </xf>
    <xf numFmtId="2" fontId="0" fillId="0" borderId="0" xfId="0" applyNumberFormat="1" applyProtection="1">
      <alignment vertical="center"/>
    </xf>
    <xf numFmtId="179" fontId="47" fillId="4" borderId="1" xfId="0" applyNumberFormat="1" applyFont="1" applyFill="1" applyBorder="1" applyAlignment="1" applyProtection="1">
      <alignment horizontal="center" vertical="center"/>
    </xf>
    <xf numFmtId="10" fontId="47" fillId="4" borderId="1" xfId="0" applyNumberFormat="1" applyFont="1" applyFill="1" applyBorder="1" applyAlignment="1" applyProtection="1">
      <alignment horizontal="center" vertical="center"/>
    </xf>
    <xf numFmtId="10" fontId="8" fillId="0" borderId="0" xfId="0" applyNumberFormat="1" applyFont="1" applyProtection="1">
      <alignment vertical="center"/>
    </xf>
    <xf numFmtId="185" fontId="8" fillId="0" borderId="0" xfId="0" applyNumberFormat="1" applyFont="1" applyProtection="1">
      <alignment vertical="center"/>
    </xf>
    <xf numFmtId="0" fontId="29" fillId="0" borderId="0" xfId="13" applyFont="1" applyAlignment="1">
      <alignment horizontal="center" vertical="center"/>
    </xf>
    <xf numFmtId="0" fontId="27" fillId="0" borderId="0" xfId="13" applyFont="1" applyBorder="1" applyAlignment="1">
      <alignment horizontal="righ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1" xfId="13" applyFont="1" applyBorder="1" applyAlignment="1">
      <alignment horizontal="center" vertical="center"/>
    </xf>
    <xf numFmtId="0" fontId="2" fillId="0" borderId="1" xfId="13" applyBorder="1" applyAlignment="1">
      <alignment horizontal="center" vertical="center" wrapText="1"/>
    </xf>
    <xf numFmtId="0" fontId="16" fillId="0" borderId="1" xfId="0" applyFont="1" applyBorder="1" applyAlignment="1">
      <alignment horizontal="center" vertical="center"/>
    </xf>
    <xf numFmtId="10" fontId="16" fillId="0" borderId="1" xfId="0" applyNumberFormat="1" applyFont="1" applyBorder="1" applyAlignment="1">
      <alignment horizontal="center" vertical="center"/>
    </xf>
    <xf numFmtId="10" fontId="16" fillId="0" borderId="1" xfId="1" applyNumberFormat="1" applyFont="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8" fillId="0" borderId="1"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9" fillId="4" borderId="1" xfId="4" applyFont="1" applyFill="1" applyBorder="1" applyAlignment="1">
      <alignment horizontal="center" vertical="center" wrapText="1"/>
    </xf>
    <xf numFmtId="0" fontId="19" fillId="4" borderId="1" xfId="3" applyFont="1" applyFill="1" applyBorder="1" applyAlignment="1">
      <alignment horizontal="center" vertical="center"/>
    </xf>
    <xf numFmtId="0" fontId="19" fillId="4" borderId="1" xfId="3" applyFont="1" applyFill="1" applyBorder="1" applyAlignment="1">
      <alignment horizontal="center" vertical="center" wrapText="1"/>
    </xf>
    <xf numFmtId="178" fontId="21" fillId="4" borderId="1" xfId="6" applyNumberFormat="1" applyFont="1" applyFill="1" applyBorder="1" applyAlignment="1">
      <alignment horizontal="center" vertical="center"/>
    </xf>
    <xf numFmtId="0" fontId="22" fillId="4" borderId="21" xfId="0" applyFont="1" applyFill="1" applyBorder="1" applyAlignment="1">
      <alignment horizontal="center" vertical="center"/>
    </xf>
    <xf numFmtId="0" fontId="22" fillId="4" borderId="26" xfId="0" applyFont="1" applyFill="1" applyBorder="1" applyAlignment="1">
      <alignment horizontal="center" vertical="center"/>
    </xf>
    <xf numFmtId="0" fontId="16" fillId="0" borderId="25"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31" fillId="0" borderId="1" xfId="0" applyFont="1" applyBorder="1" applyAlignment="1" applyProtection="1">
      <alignment horizontal="center" vertical="center"/>
    </xf>
    <xf numFmtId="0" fontId="44" fillId="0" borderId="1" xfId="0" applyFont="1" applyBorder="1" applyAlignment="1" applyProtection="1">
      <alignment horizontal="left" vertical="center"/>
    </xf>
    <xf numFmtId="0" fontId="44" fillId="0" borderId="1"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25" xfId="0" applyFont="1" applyBorder="1" applyAlignment="1" applyProtection="1">
      <alignment horizontal="center" vertical="center"/>
    </xf>
    <xf numFmtId="0" fontId="31" fillId="0" borderId="3" xfId="0" applyFont="1" applyBorder="1" applyAlignment="1" applyProtection="1">
      <alignment horizontal="center" vertical="center"/>
    </xf>
    <xf numFmtId="0" fontId="44" fillId="0" borderId="1" xfId="0" applyFont="1" applyBorder="1" applyAlignment="1" applyProtection="1">
      <alignment horizontal="left" vertical="center" wrapText="1"/>
    </xf>
    <xf numFmtId="0" fontId="44" fillId="0" borderId="1" xfId="0" applyFont="1" applyBorder="1" applyAlignment="1">
      <alignment horizontal="center" vertical="center"/>
    </xf>
    <xf numFmtId="0" fontId="31" fillId="0" borderId="11" xfId="0" applyFont="1" applyBorder="1" applyAlignment="1" applyProtection="1">
      <alignment horizontal="center" vertical="center"/>
    </xf>
    <xf numFmtId="0" fontId="31" fillId="0" borderId="12" xfId="0" applyFont="1" applyBorder="1" applyAlignment="1" applyProtection="1">
      <alignment horizontal="center" vertical="center"/>
    </xf>
    <xf numFmtId="0" fontId="9" fillId="4" borderId="11" xfId="3" applyFont="1" applyFill="1" applyBorder="1" applyAlignment="1" applyProtection="1">
      <alignment horizontal="center" vertical="center" wrapText="1"/>
    </xf>
    <xf numFmtId="0" fontId="9" fillId="4" borderId="12" xfId="3" applyFont="1" applyFill="1" applyBorder="1" applyAlignment="1" applyProtection="1">
      <alignment horizontal="center" vertical="center" wrapText="1"/>
    </xf>
    <xf numFmtId="0" fontId="31" fillId="0" borderId="27" xfId="0" applyFont="1" applyBorder="1" applyAlignment="1" applyProtection="1">
      <alignment horizontal="center" vertical="center" wrapText="1"/>
    </xf>
    <xf numFmtId="0" fontId="31" fillId="0" borderId="29" xfId="0" applyFont="1" applyBorder="1" applyAlignment="1" applyProtection="1">
      <alignment horizontal="center" vertical="center" wrapText="1"/>
    </xf>
    <xf numFmtId="0" fontId="16" fillId="0" borderId="1" xfId="0" applyFont="1" applyBorder="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wrapText="1"/>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2" fillId="0" borderId="1" xfId="0" applyFont="1" applyBorder="1" applyAlignment="1">
      <alignment horizontal="center" vertical="center" wrapText="1"/>
    </xf>
    <xf numFmtId="0" fontId="43" fillId="0" borderId="1" xfId="0" applyFont="1" applyBorder="1" applyAlignment="1" applyProtection="1">
      <alignment horizontal="left" vertical="center"/>
    </xf>
    <xf numFmtId="9" fontId="31" fillId="0" borderId="1" xfId="0" applyNumberFormat="1" applyFont="1" applyBorder="1" applyAlignment="1" applyProtection="1">
      <alignment horizontal="center" vertical="center"/>
    </xf>
    <xf numFmtId="0" fontId="44" fillId="0" borderId="2" xfId="0" applyFont="1" applyBorder="1" applyAlignment="1" applyProtection="1">
      <alignment horizontal="center" vertical="center"/>
    </xf>
    <xf numFmtId="0" fontId="44" fillId="0" borderId="25" xfId="0" applyFont="1" applyBorder="1" applyAlignment="1" applyProtection="1">
      <alignment horizontal="center" vertical="center"/>
    </xf>
    <xf numFmtId="0" fontId="44" fillId="0" borderId="3" xfId="0" applyFont="1" applyBorder="1" applyAlignment="1" applyProtection="1">
      <alignment horizontal="center" vertical="center"/>
    </xf>
    <xf numFmtId="2" fontId="9" fillId="4" borderId="11" xfId="0" applyNumberFormat="1" applyFont="1" applyFill="1" applyBorder="1" applyAlignment="1" applyProtection="1">
      <alignment horizontal="center" vertical="center"/>
    </xf>
    <xf numFmtId="2" fontId="9" fillId="4" borderId="10" xfId="0" applyNumberFormat="1" applyFont="1" applyFill="1" applyBorder="1" applyAlignment="1" applyProtection="1">
      <alignment horizontal="center" vertical="center"/>
    </xf>
    <xf numFmtId="2" fontId="9" fillId="4" borderId="12" xfId="0" applyNumberFormat="1" applyFont="1" applyFill="1" applyBorder="1" applyAlignment="1" applyProtection="1">
      <alignment horizontal="center" vertical="center"/>
    </xf>
    <xf numFmtId="0" fontId="43" fillId="0" borderId="1" xfId="0" applyFont="1" applyBorder="1" applyAlignment="1" applyProtection="1">
      <alignment horizontal="left" vertical="center" wrapText="1"/>
    </xf>
    <xf numFmtId="0" fontId="31" fillId="0" borderId="21" xfId="0" applyFont="1" applyBorder="1" applyAlignment="1" applyProtection="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25" xfId="0" applyFont="1" applyBorder="1" applyAlignment="1">
      <alignment horizontal="center" vertical="center"/>
    </xf>
    <xf numFmtId="0" fontId="18"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10" fontId="16" fillId="0" borderId="6" xfId="0" applyNumberFormat="1" applyFont="1" applyBorder="1" applyAlignment="1">
      <alignment horizontal="center" vertical="center"/>
    </xf>
    <xf numFmtId="10" fontId="16" fillId="0" borderId="9" xfId="0" applyNumberFormat="1"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10" fontId="16" fillId="0" borderId="14" xfId="0" applyNumberFormat="1" applyFont="1" applyBorder="1" applyAlignment="1">
      <alignment horizontal="center" vertical="center"/>
    </xf>
    <xf numFmtId="10" fontId="16" fillId="0" borderId="14" xfId="1" applyNumberFormat="1" applyFont="1" applyBorder="1" applyAlignment="1">
      <alignment horizontal="center" vertical="center"/>
    </xf>
    <xf numFmtId="10" fontId="16" fillId="0" borderId="34" xfId="1" applyNumberFormat="1" applyFont="1" applyBorder="1" applyAlignment="1">
      <alignment horizontal="center" vertical="center"/>
    </xf>
    <xf numFmtId="177" fontId="16" fillId="0" borderId="30" xfId="0" applyNumberFormat="1" applyFont="1" applyBorder="1" applyAlignment="1">
      <alignment horizontal="center" vertical="center"/>
    </xf>
    <xf numFmtId="177" fontId="16" fillId="0" borderId="31" xfId="0" applyNumberFormat="1" applyFont="1" applyBorder="1" applyAlignment="1">
      <alignment horizontal="center" vertical="center"/>
    </xf>
    <xf numFmtId="177" fontId="16" fillId="0" borderId="32" xfId="0" applyNumberFormat="1" applyFont="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8" xfId="0" applyFont="1" applyFill="1" applyBorder="1" applyAlignment="1">
      <alignment horizontal="center" vertical="center"/>
    </xf>
    <xf numFmtId="176" fontId="47" fillId="4" borderId="2" xfId="0" applyNumberFormat="1" applyFont="1" applyFill="1" applyBorder="1" applyAlignment="1" applyProtection="1">
      <alignment horizontal="center" vertical="center"/>
    </xf>
    <xf numFmtId="176" fontId="47" fillId="4" borderId="25" xfId="0" applyNumberFormat="1" applyFont="1" applyFill="1" applyBorder="1" applyAlignment="1" applyProtection="1">
      <alignment horizontal="center" vertical="center"/>
    </xf>
    <xf numFmtId="176" fontId="47" fillId="4" borderId="3" xfId="0" applyNumberFormat="1" applyFont="1" applyFill="1" applyBorder="1" applyAlignment="1" applyProtection="1">
      <alignment horizontal="center" vertical="center"/>
    </xf>
    <xf numFmtId="176" fontId="47" fillId="0" borderId="1" xfId="0" applyNumberFormat="1" applyFont="1" applyBorder="1" applyAlignment="1" applyProtection="1">
      <alignment horizontal="center" vertical="center"/>
    </xf>
    <xf numFmtId="0" fontId="47" fillId="4" borderId="1" xfId="0" applyFont="1" applyFill="1" applyBorder="1" applyAlignment="1" applyProtection="1">
      <alignment horizontal="left" vertical="center" wrapText="1"/>
    </xf>
    <xf numFmtId="0" fontId="47" fillId="0" borderId="1" xfId="0" applyFont="1" applyBorder="1" applyAlignment="1" applyProtection="1">
      <alignment horizontal="center" vertical="center" wrapText="1"/>
    </xf>
    <xf numFmtId="0" fontId="47" fillId="4" borderId="1" xfId="0" applyFont="1" applyFill="1" applyBorder="1" applyAlignment="1" applyProtection="1">
      <alignment horizontal="center" vertical="center"/>
    </xf>
    <xf numFmtId="0" fontId="47" fillId="4" borderId="27" xfId="0" applyFont="1" applyFill="1" applyBorder="1" applyAlignment="1" applyProtection="1">
      <alignment horizontal="center" vertical="center"/>
    </xf>
    <xf numFmtId="0" fontId="47" fillId="4" borderId="29" xfId="0" applyFont="1" applyFill="1" applyBorder="1" applyAlignment="1" applyProtection="1">
      <alignment horizontal="center" vertical="center"/>
    </xf>
    <xf numFmtId="0" fontId="47" fillId="4" borderId="20" xfId="0" applyFont="1" applyFill="1" applyBorder="1" applyAlignment="1" applyProtection="1">
      <alignment horizontal="center" vertical="center"/>
    </xf>
    <xf numFmtId="0" fontId="47" fillId="4" borderId="28" xfId="0" applyFont="1" applyFill="1" applyBorder="1" applyAlignment="1" applyProtection="1">
      <alignment horizontal="center" vertical="center"/>
    </xf>
    <xf numFmtId="0" fontId="47" fillId="0" borderId="11" xfId="0" applyFont="1" applyBorder="1" applyAlignment="1" applyProtection="1">
      <alignment horizontal="center" vertical="center"/>
    </xf>
    <xf numFmtId="0" fontId="47" fillId="0" borderId="12" xfId="0" applyFont="1" applyBorder="1" applyAlignment="1" applyProtection="1">
      <alignment horizontal="center" vertical="center"/>
    </xf>
    <xf numFmtId="10" fontId="47" fillId="0" borderId="11" xfId="0" applyNumberFormat="1" applyFont="1" applyBorder="1" applyAlignment="1" applyProtection="1">
      <alignment horizontal="center" vertical="center"/>
    </xf>
    <xf numFmtId="10" fontId="47" fillId="0" borderId="12" xfId="0" applyNumberFormat="1" applyFont="1" applyBorder="1" applyAlignment="1" applyProtection="1">
      <alignment horizontal="center" vertical="center"/>
    </xf>
    <xf numFmtId="0" fontId="47" fillId="4" borderId="2" xfId="0" applyFont="1" applyFill="1" applyBorder="1" applyAlignment="1" applyProtection="1">
      <alignment horizontal="center" vertical="center"/>
    </xf>
    <xf numFmtId="0" fontId="47" fillId="4" borderId="25" xfId="0" applyFont="1" applyFill="1" applyBorder="1" applyAlignment="1" applyProtection="1">
      <alignment horizontal="center" vertical="center"/>
    </xf>
    <xf numFmtId="0" fontId="47" fillId="4" borderId="3" xfId="0" applyFont="1" applyFill="1" applyBorder="1" applyAlignment="1" applyProtection="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3" xfId="0" applyFont="1" applyFill="1" applyBorder="1" applyAlignment="1">
      <alignment horizontal="center" vertical="center"/>
    </xf>
    <xf numFmtId="0" fontId="21" fillId="4" borderId="1" xfId="0" applyFont="1" applyFill="1" applyBorder="1" applyAlignment="1">
      <alignment horizontal="center" vertical="center"/>
    </xf>
    <xf numFmtId="0" fontId="24" fillId="4" borderId="1" xfId="0" applyFont="1" applyFill="1" applyBorder="1" applyAlignment="1">
      <alignment horizontal="left" vertical="center"/>
    </xf>
    <xf numFmtId="176"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24" fillId="4" borderId="1" xfId="0" applyFont="1" applyFill="1" applyBorder="1" applyAlignment="1">
      <alignment horizontal="left" vertical="center" wrapText="1"/>
    </xf>
    <xf numFmtId="176" fontId="24" fillId="4" borderId="1" xfId="0" applyNumberFormat="1" applyFont="1" applyFill="1" applyBorder="1" applyAlignment="1">
      <alignment horizontal="center" vertical="center" wrapText="1"/>
    </xf>
    <xf numFmtId="0" fontId="18" fillId="4" borderId="1" xfId="0" applyFont="1" applyFill="1" applyBorder="1" applyAlignment="1">
      <alignment horizontal="left" vertical="center"/>
    </xf>
    <xf numFmtId="0" fontId="21" fillId="4" borderId="1" xfId="9" applyFont="1" applyFill="1" applyBorder="1" applyAlignment="1">
      <alignment horizontal="center" vertical="center"/>
    </xf>
    <xf numFmtId="9" fontId="21" fillId="4" borderId="1" xfId="9" applyNumberFormat="1" applyFont="1" applyFill="1" applyBorder="1" applyAlignment="1">
      <alignment horizontal="center" vertical="center"/>
    </xf>
    <xf numFmtId="180" fontId="19" fillId="4" borderId="1" xfId="11" applyNumberFormat="1" applyFont="1" applyFill="1" applyBorder="1" applyAlignment="1">
      <alignment horizontal="center" vertical="center"/>
    </xf>
    <xf numFmtId="180" fontId="21" fillId="4" borderId="1" xfId="11" applyNumberFormat="1" applyFont="1" applyFill="1" applyBorder="1" applyAlignment="1">
      <alignment horizontal="center" vertical="center"/>
    </xf>
    <xf numFmtId="180" fontId="18" fillId="4" borderId="1" xfId="0" applyNumberFormat="1" applyFont="1" applyFill="1" applyBorder="1" applyAlignment="1">
      <alignment horizontal="center" vertical="center"/>
    </xf>
    <xf numFmtId="180" fontId="18" fillId="4" borderId="2" xfId="0" applyNumberFormat="1" applyFont="1" applyFill="1" applyBorder="1" applyAlignment="1">
      <alignment horizontal="center" vertical="center"/>
    </xf>
    <xf numFmtId="180" fontId="18" fillId="4" borderId="25" xfId="0" applyNumberFormat="1" applyFont="1" applyFill="1" applyBorder="1" applyAlignment="1">
      <alignment horizontal="center" vertical="center"/>
    </xf>
    <xf numFmtId="180" fontId="18" fillId="4" borderId="3" xfId="0" applyNumberFormat="1" applyFont="1" applyFill="1" applyBorder="1" applyAlignment="1">
      <alignment horizontal="center" vertical="center"/>
    </xf>
    <xf numFmtId="0" fontId="16" fillId="4" borderId="26"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1" xfId="0" applyFont="1" applyFill="1" applyBorder="1" applyAlignment="1">
      <alignment horizontal="center" vertical="center"/>
    </xf>
    <xf numFmtId="0" fontId="18" fillId="4" borderId="35" xfId="0" applyFont="1" applyFill="1" applyBorder="1" applyAlignment="1">
      <alignment horizontal="right" vertical="center"/>
    </xf>
    <xf numFmtId="0" fontId="18" fillId="4" borderId="0" xfId="0" applyFont="1" applyFill="1" applyBorder="1" applyAlignment="1">
      <alignment horizontal="right" vertical="center"/>
    </xf>
    <xf numFmtId="178" fontId="19" fillId="4" borderId="1" xfId="12" applyNumberFormat="1" applyFont="1" applyFill="1" applyBorder="1" applyAlignment="1">
      <alignment horizontal="center" vertical="center" wrapText="1"/>
    </xf>
    <xf numFmtId="0" fontId="16" fillId="4" borderId="29" xfId="0" applyFont="1" applyFill="1" applyBorder="1" applyAlignment="1">
      <alignment horizontal="center" vertical="center"/>
    </xf>
    <xf numFmtId="0" fontId="16" fillId="4" borderId="36" xfId="0" applyFont="1" applyFill="1" applyBorder="1" applyAlignment="1">
      <alignment horizontal="center" vertical="center"/>
    </xf>
    <xf numFmtId="177" fontId="19" fillId="4" borderId="4" xfId="12" applyNumberFormat="1" applyFont="1" applyFill="1" applyBorder="1" applyAlignment="1">
      <alignment horizontal="center" vertical="center" wrapText="1"/>
    </xf>
    <xf numFmtId="177" fontId="19" fillId="4" borderId="13" xfId="12" applyNumberFormat="1" applyFont="1" applyFill="1" applyBorder="1" applyAlignment="1">
      <alignment horizontal="center" vertical="center" wrapText="1"/>
    </xf>
    <xf numFmtId="177" fontId="19" fillId="4" borderId="5" xfId="12" applyNumberFormat="1" applyFont="1" applyFill="1" applyBorder="1" applyAlignment="1">
      <alignment horizontal="center" vertical="center" wrapText="1"/>
    </xf>
    <xf numFmtId="177" fontId="19" fillId="4" borderId="1" xfId="12" applyNumberFormat="1" applyFont="1" applyFill="1" applyBorder="1" applyAlignment="1">
      <alignment horizontal="center" vertical="center" wrapText="1"/>
    </xf>
    <xf numFmtId="0" fontId="18" fillId="4" borderId="5" xfId="0" applyFont="1" applyFill="1" applyBorder="1" applyAlignment="1">
      <alignment horizontal="center" vertical="center"/>
    </xf>
    <xf numFmtId="0" fontId="21" fillId="4" borderId="1" xfId="0" applyFont="1" applyFill="1" applyBorder="1" applyAlignment="1">
      <alignment horizontal="center" vertical="center" wrapText="1"/>
    </xf>
    <xf numFmtId="177" fontId="18" fillId="4" borderId="1" xfId="0" applyNumberFormat="1" applyFont="1" applyFill="1" applyBorder="1" applyAlignment="1">
      <alignment horizontal="right" vertical="center"/>
    </xf>
    <xf numFmtId="0" fontId="19" fillId="4" borderId="1" xfId="12" applyNumberFormat="1" applyFont="1" applyFill="1" applyBorder="1" applyAlignment="1">
      <alignment horizontal="center" vertical="center" wrapText="1"/>
    </xf>
    <xf numFmtId="0" fontId="18" fillId="4" borderId="20"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27" xfId="0" applyFont="1" applyFill="1" applyBorder="1" applyAlignment="1">
      <alignment horizontal="left" vertical="center"/>
    </xf>
    <xf numFmtId="0" fontId="18" fillId="4" borderId="26" xfId="0" applyFont="1" applyFill="1" applyBorder="1" applyAlignment="1">
      <alignment horizontal="left" vertical="center"/>
    </xf>
    <xf numFmtId="178" fontId="21" fillId="4" borderId="2" xfId="6" applyNumberFormat="1" applyFont="1" applyFill="1" applyBorder="1" applyAlignment="1">
      <alignment horizontal="center" vertical="center"/>
    </xf>
    <xf numFmtId="178" fontId="21" fillId="4" borderId="25" xfId="6" applyNumberFormat="1" applyFont="1" applyFill="1" applyBorder="1" applyAlignment="1">
      <alignment horizontal="center" vertical="center"/>
    </xf>
    <xf numFmtId="178" fontId="21" fillId="4" borderId="3" xfId="6" applyNumberFormat="1" applyFont="1" applyFill="1" applyBorder="1" applyAlignment="1">
      <alignment horizontal="center" vertical="center"/>
    </xf>
    <xf numFmtId="0" fontId="24" fillId="4" borderId="20" xfId="6" applyFont="1" applyFill="1" applyBorder="1" applyAlignment="1">
      <alignment horizontal="right" vertical="center"/>
    </xf>
    <xf numFmtId="0" fontId="24" fillId="4" borderId="21" xfId="6" applyFont="1" applyFill="1" applyBorder="1" applyAlignment="1">
      <alignment horizontal="right" vertical="center"/>
    </xf>
    <xf numFmtId="0" fontId="21" fillId="4" borderId="1" xfId="6" applyFont="1" applyFill="1" applyBorder="1" applyAlignment="1">
      <alignment horizontal="center" vertical="center"/>
    </xf>
    <xf numFmtId="0" fontId="16" fillId="4" borderId="27" xfId="0" applyFont="1" applyFill="1" applyBorder="1" applyAlignment="1">
      <alignment horizontal="left" vertical="center"/>
    </xf>
    <xf numFmtId="0" fontId="16" fillId="4" borderId="26" xfId="0" applyFont="1" applyFill="1" applyBorder="1" applyAlignment="1">
      <alignment horizontal="left" vertical="center"/>
    </xf>
    <xf numFmtId="0" fontId="25" fillId="4" borderId="1" xfId="6" applyFont="1" applyFill="1" applyBorder="1" applyAlignment="1">
      <alignment horizontal="center" vertical="center"/>
    </xf>
    <xf numFmtId="178" fontId="25" fillId="4" borderId="1" xfId="6" applyNumberFormat="1" applyFont="1" applyFill="1" applyBorder="1" applyAlignment="1">
      <alignment horizontal="center" vertical="center"/>
    </xf>
    <xf numFmtId="10" fontId="16" fillId="0" borderId="2" xfId="0" applyNumberFormat="1" applyFont="1" applyBorder="1" applyAlignment="1">
      <alignment horizontal="center" vertical="center" wrapText="1"/>
    </xf>
    <xf numFmtId="10" fontId="16" fillId="0" borderId="25" xfId="0" applyNumberFormat="1" applyFont="1" applyBorder="1" applyAlignment="1">
      <alignment horizontal="center" vertical="center" wrapText="1"/>
    </xf>
    <xf numFmtId="10" fontId="16" fillId="0" borderId="3"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2" fontId="16" fillId="0" borderId="2" xfId="0" applyNumberFormat="1" applyFont="1" applyBorder="1" applyAlignment="1">
      <alignment horizontal="center" vertical="center" wrapText="1"/>
    </xf>
    <xf numFmtId="2" fontId="16" fillId="0" borderId="25"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21" fillId="0" borderId="1" xfId="6" applyFont="1" applyBorder="1" applyAlignment="1">
      <alignment horizontal="center"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25" xfId="9" applyFont="1" applyBorder="1" applyAlignment="1">
      <alignment horizontal="center" vertical="center"/>
    </xf>
    <xf numFmtId="0" fontId="21" fillId="0" borderId="3" xfId="9" applyFont="1" applyBorder="1" applyAlignment="1">
      <alignment horizontal="center" vertical="center"/>
    </xf>
  </cellXfs>
  <cellStyles count="16">
    <cellStyle name="百分比" xfId="1" builtinId="5"/>
    <cellStyle name="百分比 2" xfId="14"/>
    <cellStyle name="常规" xfId="0" builtinId="0"/>
    <cellStyle name="常规 10" xfId="6"/>
    <cellStyle name="常规 11" xfId="2"/>
    <cellStyle name="常规 12 3" xfId="8"/>
    <cellStyle name="常规 14" xfId="4"/>
    <cellStyle name="常规 2" xfId="13"/>
    <cellStyle name="常规 2 2" xfId="3"/>
    <cellStyle name="常规 2 2 5 3" xfId="7"/>
    <cellStyle name="常规 2 4" xfId="12"/>
    <cellStyle name="常规 5 3" xfId="11"/>
    <cellStyle name="常规 7 4" xfId="15"/>
    <cellStyle name="常规 9" xfId="9"/>
    <cellStyle name="常规 9 2" xfId="10"/>
    <cellStyle name="千位分隔 3" xfId="5"/>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4</xdr:col>
      <xdr:colOff>101600</xdr:colOff>
      <xdr:row>1</xdr:row>
      <xdr:rowOff>76200</xdr:rowOff>
    </xdr:from>
    <xdr:to>
      <xdr:col>6</xdr:col>
      <xdr:colOff>304800</xdr:colOff>
      <xdr:row>3</xdr:row>
      <xdr:rowOff>165100</xdr:rowOff>
    </xdr:to>
    <xdr:sp macro="" textlink="">
      <xdr:nvSpPr>
        <xdr:cNvPr id="2" name="圆角矩形 1">
          <a:extLst>
            <a:ext uri="{FF2B5EF4-FFF2-40B4-BE49-F238E27FC236}">
              <a16:creationId xmlns="" xmlns:a16="http://schemas.microsoft.com/office/drawing/2014/main" id="{EF9BAD71-3FF7-3640-B318-2D8A3449D05E}"/>
            </a:ext>
          </a:extLst>
        </xdr:cNvPr>
        <xdr:cNvSpPr/>
      </xdr:nvSpPr>
      <xdr:spPr>
        <a:xfrm>
          <a:off x="2806700" y="279400"/>
          <a:ext cx="1854200" cy="4953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800">
              <a:solidFill>
                <a:schemeClr val="tx1"/>
              </a:solidFill>
            </a:rPr>
            <a:t>九原区人民政府</a:t>
          </a:r>
        </a:p>
      </xdr:txBody>
    </xdr:sp>
    <xdr:clientData/>
  </xdr:twoCellAnchor>
  <xdr:twoCellAnchor>
    <xdr:from>
      <xdr:col>1</xdr:col>
      <xdr:colOff>584200</xdr:colOff>
      <xdr:row>10</xdr:row>
      <xdr:rowOff>190500</xdr:rowOff>
    </xdr:from>
    <xdr:to>
      <xdr:col>3</xdr:col>
      <xdr:colOff>787400</xdr:colOff>
      <xdr:row>13</xdr:row>
      <xdr:rowOff>76200</xdr:rowOff>
    </xdr:to>
    <xdr:sp macro="" textlink="">
      <xdr:nvSpPr>
        <xdr:cNvPr id="3" name="圆角矩形 2">
          <a:extLst>
            <a:ext uri="{FF2B5EF4-FFF2-40B4-BE49-F238E27FC236}">
              <a16:creationId xmlns="" xmlns:a16="http://schemas.microsoft.com/office/drawing/2014/main" id="{008F47D3-E6E8-CA41-89B2-FA3AC89C4DF2}"/>
            </a:ext>
          </a:extLst>
        </xdr:cNvPr>
        <xdr:cNvSpPr/>
      </xdr:nvSpPr>
      <xdr:spPr>
        <a:xfrm>
          <a:off x="812800" y="2222500"/>
          <a:ext cx="1854200" cy="4953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800">
              <a:solidFill>
                <a:schemeClr val="tx1"/>
              </a:solidFill>
            </a:rPr>
            <a:t>政府方出资代表</a:t>
          </a:r>
        </a:p>
      </xdr:txBody>
    </xdr:sp>
    <xdr:clientData/>
  </xdr:twoCellAnchor>
  <xdr:twoCellAnchor>
    <xdr:from>
      <xdr:col>6</xdr:col>
      <xdr:colOff>12700</xdr:colOff>
      <xdr:row>13</xdr:row>
      <xdr:rowOff>12700</xdr:rowOff>
    </xdr:from>
    <xdr:to>
      <xdr:col>8</xdr:col>
      <xdr:colOff>215900</xdr:colOff>
      <xdr:row>15</xdr:row>
      <xdr:rowOff>101600</xdr:rowOff>
    </xdr:to>
    <xdr:sp macro="" textlink="">
      <xdr:nvSpPr>
        <xdr:cNvPr id="4" name="圆角矩形 3">
          <a:extLst>
            <a:ext uri="{FF2B5EF4-FFF2-40B4-BE49-F238E27FC236}">
              <a16:creationId xmlns="" xmlns:a16="http://schemas.microsoft.com/office/drawing/2014/main" id="{1BEE808B-E2D3-1942-BE60-4DAE02CDAD01}"/>
            </a:ext>
          </a:extLst>
        </xdr:cNvPr>
        <xdr:cNvSpPr/>
      </xdr:nvSpPr>
      <xdr:spPr>
        <a:xfrm>
          <a:off x="4368800" y="2654300"/>
          <a:ext cx="1854200" cy="4953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800">
              <a:solidFill>
                <a:schemeClr val="tx1"/>
              </a:solidFill>
            </a:rPr>
            <a:t>中选社会资本</a:t>
          </a:r>
        </a:p>
      </xdr:txBody>
    </xdr:sp>
    <xdr:clientData/>
  </xdr:twoCellAnchor>
  <xdr:twoCellAnchor>
    <xdr:from>
      <xdr:col>6</xdr:col>
      <xdr:colOff>0</xdr:colOff>
      <xdr:row>7</xdr:row>
      <xdr:rowOff>190500</xdr:rowOff>
    </xdr:from>
    <xdr:to>
      <xdr:col>8</xdr:col>
      <xdr:colOff>203200</xdr:colOff>
      <xdr:row>10</xdr:row>
      <xdr:rowOff>76200</xdr:rowOff>
    </xdr:to>
    <xdr:sp macro="" textlink="">
      <xdr:nvSpPr>
        <xdr:cNvPr id="5" name="圆角矩形 4">
          <a:extLst>
            <a:ext uri="{FF2B5EF4-FFF2-40B4-BE49-F238E27FC236}">
              <a16:creationId xmlns="" xmlns:a16="http://schemas.microsoft.com/office/drawing/2014/main" id="{71125F14-D075-1540-8311-89EC3C1EB3D3}"/>
            </a:ext>
          </a:extLst>
        </xdr:cNvPr>
        <xdr:cNvSpPr/>
      </xdr:nvSpPr>
      <xdr:spPr>
        <a:xfrm>
          <a:off x="4356100" y="1612900"/>
          <a:ext cx="1854200" cy="4953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800">
              <a:solidFill>
                <a:schemeClr val="tx1"/>
              </a:solidFill>
            </a:rPr>
            <a:t>实施机构</a:t>
          </a:r>
        </a:p>
      </xdr:txBody>
    </xdr:sp>
    <xdr:clientData/>
  </xdr:twoCellAnchor>
  <xdr:twoCellAnchor>
    <xdr:from>
      <xdr:col>4</xdr:col>
      <xdr:colOff>127000</xdr:colOff>
      <xdr:row>18</xdr:row>
      <xdr:rowOff>12700</xdr:rowOff>
    </xdr:from>
    <xdr:to>
      <xdr:col>6</xdr:col>
      <xdr:colOff>330200</xdr:colOff>
      <xdr:row>20</xdr:row>
      <xdr:rowOff>101600</xdr:rowOff>
    </xdr:to>
    <xdr:sp macro="" textlink="">
      <xdr:nvSpPr>
        <xdr:cNvPr id="6" name="圆角矩形 5">
          <a:extLst>
            <a:ext uri="{FF2B5EF4-FFF2-40B4-BE49-F238E27FC236}">
              <a16:creationId xmlns="" xmlns:a16="http://schemas.microsoft.com/office/drawing/2014/main" id="{F6D4535A-8C87-7740-ADD0-EC1BCB8D1D63}"/>
            </a:ext>
          </a:extLst>
        </xdr:cNvPr>
        <xdr:cNvSpPr/>
      </xdr:nvSpPr>
      <xdr:spPr>
        <a:xfrm>
          <a:off x="2832100" y="3670300"/>
          <a:ext cx="1854200" cy="4953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800">
              <a:solidFill>
                <a:schemeClr val="tx1"/>
              </a:solidFill>
            </a:rPr>
            <a:t>项目公司</a:t>
          </a:r>
        </a:p>
      </xdr:txBody>
    </xdr:sp>
    <xdr:clientData/>
  </xdr:twoCellAnchor>
  <xdr:twoCellAnchor>
    <xdr:from>
      <xdr:col>1</xdr:col>
      <xdr:colOff>635000</xdr:colOff>
      <xdr:row>25</xdr:row>
      <xdr:rowOff>0</xdr:rowOff>
    </xdr:from>
    <xdr:to>
      <xdr:col>4</xdr:col>
      <xdr:colOff>12700</xdr:colOff>
      <xdr:row>27</xdr:row>
      <xdr:rowOff>88900</xdr:rowOff>
    </xdr:to>
    <xdr:sp macro="" textlink="">
      <xdr:nvSpPr>
        <xdr:cNvPr id="7" name="圆角矩形 6">
          <a:extLst>
            <a:ext uri="{FF2B5EF4-FFF2-40B4-BE49-F238E27FC236}">
              <a16:creationId xmlns="" xmlns:a16="http://schemas.microsoft.com/office/drawing/2014/main" id="{40F70C8F-A97D-674B-AED6-3FEAA9A44102}"/>
            </a:ext>
          </a:extLst>
        </xdr:cNvPr>
        <xdr:cNvSpPr/>
      </xdr:nvSpPr>
      <xdr:spPr>
        <a:xfrm>
          <a:off x="863600" y="5080000"/>
          <a:ext cx="1854200" cy="4953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800">
              <a:solidFill>
                <a:schemeClr val="tx1"/>
              </a:solidFill>
            </a:rPr>
            <a:t>本项目</a:t>
          </a:r>
        </a:p>
      </xdr:txBody>
    </xdr:sp>
    <xdr:clientData/>
  </xdr:twoCellAnchor>
  <xdr:twoCellAnchor>
    <xdr:from>
      <xdr:col>6</xdr:col>
      <xdr:colOff>0</xdr:colOff>
      <xdr:row>25</xdr:row>
      <xdr:rowOff>0</xdr:rowOff>
    </xdr:from>
    <xdr:to>
      <xdr:col>8</xdr:col>
      <xdr:colOff>203200</xdr:colOff>
      <xdr:row>27</xdr:row>
      <xdr:rowOff>88900</xdr:rowOff>
    </xdr:to>
    <xdr:sp macro="" textlink="">
      <xdr:nvSpPr>
        <xdr:cNvPr id="8" name="圆角矩形 7">
          <a:extLst>
            <a:ext uri="{FF2B5EF4-FFF2-40B4-BE49-F238E27FC236}">
              <a16:creationId xmlns="" xmlns:a16="http://schemas.microsoft.com/office/drawing/2014/main" id="{D131F66D-C59D-5D4E-9DE1-98C6718A9A14}"/>
            </a:ext>
          </a:extLst>
        </xdr:cNvPr>
        <xdr:cNvSpPr/>
      </xdr:nvSpPr>
      <xdr:spPr>
        <a:xfrm>
          <a:off x="4356100" y="5080000"/>
          <a:ext cx="1854200" cy="4953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800">
              <a:solidFill>
                <a:schemeClr val="tx1"/>
              </a:solidFill>
            </a:rPr>
            <a:t>园区企业</a:t>
          </a:r>
        </a:p>
      </xdr:txBody>
    </xdr:sp>
    <xdr:clientData/>
  </xdr:twoCellAnchor>
  <xdr:twoCellAnchor>
    <xdr:from>
      <xdr:col>4</xdr:col>
      <xdr:colOff>292100</xdr:colOff>
      <xdr:row>5</xdr:row>
      <xdr:rowOff>0</xdr:rowOff>
    </xdr:from>
    <xdr:to>
      <xdr:col>5</xdr:col>
      <xdr:colOff>76200</xdr:colOff>
      <xdr:row>6</xdr:row>
      <xdr:rowOff>152400</xdr:rowOff>
    </xdr:to>
    <xdr:sp macro="" textlink="">
      <xdr:nvSpPr>
        <xdr:cNvPr id="20" name="圆角矩形 19">
          <a:extLst>
            <a:ext uri="{FF2B5EF4-FFF2-40B4-BE49-F238E27FC236}">
              <a16:creationId xmlns="" xmlns:a16="http://schemas.microsoft.com/office/drawing/2014/main" id="{2D9C09EB-DCEB-4046-A91E-15399C545088}"/>
            </a:ext>
          </a:extLst>
        </xdr:cNvPr>
        <xdr:cNvSpPr/>
      </xdr:nvSpPr>
      <xdr:spPr>
        <a:xfrm>
          <a:off x="2997200" y="1016000"/>
          <a:ext cx="6096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授权</a:t>
          </a:r>
        </a:p>
      </xdr:txBody>
    </xdr:sp>
    <xdr:clientData/>
  </xdr:twoCellAnchor>
  <xdr:twoCellAnchor>
    <xdr:from>
      <xdr:col>7</xdr:col>
      <xdr:colOff>228600</xdr:colOff>
      <xdr:row>10</xdr:row>
      <xdr:rowOff>177800</xdr:rowOff>
    </xdr:from>
    <xdr:to>
      <xdr:col>8</xdr:col>
      <xdr:colOff>393700</xdr:colOff>
      <xdr:row>12</xdr:row>
      <xdr:rowOff>127000</xdr:rowOff>
    </xdr:to>
    <xdr:sp macro="" textlink="">
      <xdr:nvSpPr>
        <xdr:cNvPr id="24" name="圆角矩形 23">
          <a:extLst>
            <a:ext uri="{FF2B5EF4-FFF2-40B4-BE49-F238E27FC236}">
              <a16:creationId xmlns="" xmlns:a16="http://schemas.microsoft.com/office/drawing/2014/main" id="{BDE8DFEF-38E6-0748-A54A-CEB62ABA142A}"/>
            </a:ext>
          </a:extLst>
        </xdr:cNvPr>
        <xdr:cNvSpPr/>
      </xdr:nvSpPr>
      <xdr:spPr>
        <a:xfrm>
          <a:off x="5410200" y="2209800"/>
          <a:ext cx="9906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公开招标</a:t>
          </a:r>
        </a:p>
      </xdr:txBody>
    </xdr:sp>
    <xdr:clientData/>
  </xdr:twoCellAnchor>
  <xdr:twoCellAnchor>
    <xdr:from>
      <xdr:col>7</xdr:col>
      <xdr:colOff>101600</xdr:colOff>
      <xdr:row>10</xdr:row>
      <xdr:rowOff>76200</xdr:rowOff>
    </xdr:from>
    <xdr:to>
      <xdr:col>7</xdr:col>
      <xdr:colOff>101600</xdr:colOff>
      <xdr:row>13</xdr:row>
      <xdr:rowOff>12700</xdr:rowOff>
    </xdr:to>
    <xdr:cxnSp macro="">
      <xdr:nvCxnSpPr>
        <xdr:cNvPr id="26" name="直线箭头连接符 25">
          <a:extLst>
            <a:ext uri="{FF2B5EF4-FFF2-40B4-BE49-F238E27FC236}">
              <a16:creationId xmlns="" xmlns:a16="http://schemas.microsoft.com/office/drawing/2014/main" id="{8A1D2C32-FB2B-6C4E-A468-D23684D197A3}"/>
            </a:ext>
          </a:extLst>
        </xdr:cNvPr>
        <xdr:cNvCxnSpPr>
          <a:stCxn id="5" idx="2"/>
          <a:endCxn id="4" idx="0"/>
        </xdr:cNvCxnSpPr>
      </xdr:nvCxnSpPr>
      <xdr:spPr>
        <a:xfrm>
          <a:off x="5283200" y="2108200"/>
          <a:ext cx="0" cy="5461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13</xdr:row>
      <xdr:rowOff>69850</xdr:rowOff>
    </xdr:from>
    <xdr:to>
      <xdr:col>4</xdr:col>
      <xdr:colOff>107950</xdr:colOff>
      <xdr:row>19</xdr:row>
      <xdr:rowOff>50800</xdr:rowOff>
    </xdr:to>
    <xdr:cxnSp macro="">
      <xdr:nvCxnSpPr>
        <xdr:cNvPr id="30" name="肘形连接符 29">
          <a:extLst>
            <a:ext uri="{FF2B5EF4-FFF2-40B4-BE49-F238E27FC236}">
              <a16:creationId xmlns="" xmlns:a16="http://schemas.microsoft.com/office/drawing/2014/main" id="{64BDD5D7-2EC3-7542-9D33-7BB58AEEFF91}"/>
            </a:ext>
          </a:extLst>
        </xdr:cNvPr>
        <xdr:cNvCxnSpPr/>
      </xdr:nvCxnSpPr>
      <xdr:spPr>
        <a:xfrm rot="16200000" flipH="1">
          <a:off x="1666875" y="2765425"/>
          <a:ext cx="1200150" cy="1092200"/>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15</xdr:row>
      <xdr:rowOff>95250</xdr:rowOff>
    </xdr:from>
    <xdr:to>
      <xdr:col>7</xdr:col>
      <xdr:colOff>107950</xdr:colOff>
      <xdr:row>19</xdr:row>
      <xdr:rowOff>50800</xdr:rowOff>
    </xdr:to>
    <xdr:cxnSp macro="">
      <xdr:nvCxnSpPr>
        <xdr:cNvPr id="32" name="肘形连接符 31">
          <a:extLst>
            <a:ext uri="{FF2B5EF4-FFF2-40B4-BE49-F238E27FC236}">
              <a16:creationId xmlns="" xmlns:a16="http://schemas.microsoft.com/office/drawing/2014/main" id="{BC1F1315-2502-5D44-91A8-055D669F9E0D}"/>
            </a:ext>
          </a:extLst>
        </xdr:cNvPr>
        <xdr:cNvCxnSpPr/>
      </xdr:nvCxnSpPr>
      <xdr:spPr>
        <a:xfrm rot="5400000">
          <a:off x="4600575" y="3222625"/>
          <a:ext cx="768350" cy="609600"/>
        </a:xfrm>
        <a:prstGeom prst="bentConnector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254000</xdr:colOff>
      <xdr:row>15</xdr:row>
      <xdr:rowOff>0</xdr:rowOff>
    </xdr:from>
    <xdr:to>
      <xdr:col>2</xdr:col>
      <xdr:colOff>622300</xdr:colOff>
      <xdr:row>16</xdr:row>
      <xdr:rowOff>152400</xdr:rowOff>
    </xdr:to>
    <xdr:sp macro="" textlink="">
      <xdr:nvSpPr>
        <xdr:cNvPr id="33" name="圆角矩形 32">
          <a:extLst>
            <a:ext uri="{FF2B5EF4-FFF2-40B4-BE49-F238E27FC236}">
              <a16:creationId xmlns="" xmlns:a16="http://schemas.microsoft.com/office/drawing/2014/main" id="{54C9EC3B-FA61-154F-8723-CBEB8E90B021}"/>
            </a:ext>
          </a:extLst>
        </xdr:cNvPr>
        <xdr:cNvSpPr/>
      </xdr:nvSpPr>
      <xdr:spPr>
        <a:xfrm>
          <a:off x="482600" y="3048000"/>
          <a:ext cx="11938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出资占股</a:t>
          </a:r>
          <a:r>
            <a:rPr lang="en-US" altLang="zh-CN" sz="1400">
              <a:solidFill>
                <a:schemeClr val="tx1"/>
              </a:solidFill>
            </a:rPr>
            <a:t>5%</a:t>
          </a:r>
          <a:endParaRPr lang="zh-CN" altLang="en-US" sz="1400">
            <a:solidFill>
              <a:schemeClr val="tx1"/>
            </a:solidFill>
          </a:endParaRPr>
        </a:p>
      </xdr:txBody>
    </xdr:sp>
    <xdr:clientData/>
  </xdr:twoCellAnchor>
  <xdr:twoCellAnchor>
    <xdr:from>
      <xdr:col>7</xdr:col>
      <xdr:colOff>152400</xdr:colOff>
      <xdr:row>17</xdr:row>
      <xdr:rowOff>127000</xdr:rowOff>
    </xdr:from>
    <xdr:to>
      <xdr:col>8</xdr:col>
      <xdr:colOff>635000</xdr:colOff>
      <xdr:row>19</xdr:row>
      <xdr:rowOff>76200</xdr:rowOff>
    </xdr:to>
    <xdr:sp macro="" textlink="">
      <xdr:nvSpPr>
        <xdr:cNvPr id="34" name="圆角矩形 33">
          <a:extLst>
            <a:ext uri="{FF2B5EF4-FFF2-40B4-BE49-F238E27FC236}">
              <a16:creationId xmlns="" xmlns:a16="http://schemas.microsoft.com/office/drawing/2014/main" id="{549D9EB2-A24C-E54F-8DAC-046FDF49011C}"/>
            </a:ext>
          </a:extLst>
        </xdr:cNvPr>
        <xdr:cNvSpPr/>
      </xdr:nvSpPr>
      <xdr:spPr>
        <a:xfrm>
          <a:off x="5334000" y="3581400"/>
          <a:ext cx="13081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出资占股</a:t>
          </a:r>
          <a:r>
            <a:rPr lang="en-US" altLang="zh-CN" sz="1400">
              <a:solidFill>
                <a:schemeClr val="tx1"/>
              </a:solidFill>
            </a:rPr>
            <a:t>95%</a:t>
          </a:r>
          <a:endParaRPr lang="zh-CN" altLang="en-US" sz="1400">
            <a:solidFill>
              <a:schemeClr val="tx1"/>
            </a:solidFill>
          </a:endParaRPr>
        </a:p>
      </xdr:txBody>
    </xdr:sp>
    <xdr:clientData/>
  </xdr:twoCellAnchor>
  <xdr:twoCellAnchor>
    <xdr:from>
      <xdr:col>2</xdr:col>
      <xdr:colOff>749300</xdr:colOff>
      <xdr:row>20</xdr:row>
      <xdr:rowOff>114300</xdr:rowOff>
    </xdr:from>
    <xdr:to>
      <xdr:col>5</xdr:col>
      <xdr:colOff>241300</xdr:colOff>
      <xdr:row>25</xdr:row>
      <xdr:rowOff>12700</xdr:rowOff>
    </xdr:to>
    <xdr:cxnSp macro="">
      <xdr:nvCxnSpPr>
        <xdr:cNvPr id="40" name="肘形连接符 39">
          <a:extLst>
            <a:ext uri="{FF2B5EF4-FFF2-40B4-BE49-F238E27FC236}">
              <a16:creationId xmlns="" xmlns:a16="http://schemas.microsoft.com/office/drawing/2014/main" id="{62D4D208-51D8-914F-B741-AB59163E4CB2}"/>
            </a:ext>
          </a:extLst>
        </xdr:cNvPr>
        <xdr:cNvCxnSpPr/>
      </xdr:nvCxnSpPr>
      <xdr:spPr>
        <a:xfrm rot="5400000">
          <a:off x="2330450" y="3651250"/>
          <a:ext cx="914400" cy="1968500"/>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254000</xdr:colOff>
      <xdr:row>20</xdr:row>
      <xdr:rowOff>101600</xdr:rowOff>
    </xdr:from>
    <xdr:to>
      <xdr:col>7</xdr:col>
      <xdr:colOff>127000</xdr:colOff>
      <xdr:row>25</xdr:row>
      <xdr:rowOff>0</xdr:rowOff>
    </xdr:to>
    <xdr:cxnSp macro="">
      <xdr:nvCxnSpPr>
        <xdr:cNvPr id="42" name="肘形连接符 41">
          <a:extLst>
            <a:ext uri="{FF2B5EF4-FFF2-40B4-BE49-F238E27FC236}">
              <a16:creationId xmlns="" xmlns:a16="http://schemas.microsoft.com/office/drawing/2014/main" id="{4FD7B381-C530-FA47-A856-338F39E0B79A}"/>
            </a:ext>
          </a:extLst>
        </xdr:cNvPr>
        <xdr:cNvCxnSpPr/>
      </xdr:nvCxnSpPr>
      <xdr:spPr>
        <a:xfrm rot="16200000" flipH="1">
          <a:off x="4089400" y="3860800"/>
          <a:ext cx="914400" cy="1524000"/>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20</xdr:row>
      <xdr:rowOff>114300</xdr:rowOff>
    </xdr:from>
    <xdr:to>
      <xdr:col>4</xdr:col>
      <xdr:colOff>241300</xdr:colOff>
      <xdr:row>22</xdr:row>
      <xdr:rowOff>63500</xdr:rowOff>
    </xdr:to>
    <xdr:sp macro="" textlink="">
      <xdr:nvSpPr>
        <xdr:cNvPr id="43" name="圆角矩形 42">
          <a:extLst>
            <a:ext uri="{FF2B5EF4-FFF2-40B4-BE49-F238E27FC236}">
              <a16:creationId xmlns="" xmlns:a16="http://schemas.microsoft.com/office/drawing/2014/main" id="{C9F9F1FC-57A7-CE45-901B-1AADA621F2F0}"/>
            </a:ext>
          </a:extLst>
        </xdr:cNvPr>
        <xdr:cNvSpPr/>
      </xdr:nvSpPr>
      <xdr:spPr>
        <a:xfrm>
          <a:off x="1231900" y="4178300"/>
          <a:ext cx="17145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投资、建设、运营</a:t>
          </a:r>
        </a:p>
      </xdr:txBody>
    </xdr:sp>
    <xdr:clientData/>
  </xdr:twoCellAnchor>
  <xdr:twoCellAnchor>
    <xdr:from>
      <xdr:col>5</xdr:col>
      <xdr:colOff>660400</xdr:colOff>
      <xdr:row>20</xdr:row>
      <xdr:rowOff>139700</xdr:rowOff>
    </xdr:from>
    <xdr:to>
      <xdr:col>7</xdr:col>
      <xdr:colOff>723900</xdr:colOff>
      <xdr:row>22</xdr:row>
      <xdr:rowOff>88900</xdr:rowOff>
    </xdr:to>
    <xdr:sp macro="" textlink="">
      <xdr:nvSpPr>
        <xdr:cNvPr id="44" name="圆角矩形 43">
          <a:extLst>
            <a:ext uri="{FF2B5EF4-FFF2-40B4-BE49-F238E27FC236}">
              <a16:creationId xmlns="" xmlns:a16="http://schemas.microsoft.com/office/drawing/2014/main" id="{A199BF8B-EFB5-4942-998E-A6DBA376A119}"/>
            </a:ext>
          </a:extLst>
        </xdr:cNvPr>
        <xdr:cNvSpPr/>
      </xdr:nvSpPr>
      <xdr:spPr>
        <a:xfrm>
          <a:off x="4191000" y="4203700"/>
          <a:ext cx="17145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提供服务</a:t>
          </a:r>
        </a:p>
      </xdr:txBody>
    </xdr:sp>
    <xdr:clientData/>
  </xdr:twoCellAnchor>
  <xdr:twoCellAnchor>
    <xdr:from>
      <xdr:col>2</xdr:col>
      <xdr:colOff>711200</xdr:colOff>
      <xdr:row>3</xdr:row>
      <xdr:rowOff>139700</xdr:rowOff>
    </xdr:from>
    <xdr:to>
      <xdr:col>5</xdr:col>
      <xdr:colOff>228600</xdr:colOff>
      <xdr:row>10</xdr:row>
      <xdr:rowOff>165100</xdr:rowOff>
    </xdr:to>
    <xdr:cxnSp macro="">
      <xdr:nvCxnSpPr>
        <xdr:cNvPr id="46" name="肘形连接符 45">
          <a:extLst>
            <a:ext uri="{FF2B5EF4-FFF2-40B4-BE49-F238E27FC236}">
              <a16:creationId xmlns="" xmlns:a16="http://schemas.microsoft.com/office/drawing/2014/main" id="{4BEFAA4B-8751-4746-B7B5-F92D78E558F4}"/>
            </a:ext>
          </a:extLst>
        </xdr:cNvPr>
        <xdr:cNvCxnSpPr/>
      </xdr:nvCxnSpPr>
      <xdr:spPr>
        <a:xfrm rot="5400000">
          <a:off x="2038350" y="476250"/>
          <a:ext cx="1447800" cy="1993900"/>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3</xdr:row>
      <xdr:rowOff>165100</xdr:rowOff>
    </xdr:from>
    <xdr:to>
      <xdr:col>7</xdr:col>
      <xdr:colOff>127000</xdr:colOff>
      <xdr:row>7</xdr:row>
      <xdr:rowOff>190500</xdr:rowOff>
    </xdr:to>
    <xdr:cxnSp macro="">
      <xdr:nvCxnSpPr>
        <xdr:cNvPr id="48" name="肘形连接符 47">
          <a:extLst>
            <a:ext uri="{FF2B5EF4-FFF2-40B4-BE49-F238E27FC236}">
              <a16:creationId xmlns="" xmlns:a16="http://schemas.microsoft.com/office/drawing/2014/main" id="{4E85E4D6-82A3-674E-B193-172C5EC2487C}"/>
            </a:ext>
          </a:extLst>
        </xdr:cNvPr>
        <xdr:cNvCxnSpPr/>
      </xdr:nvCxnSpPr>
      <xdr:spPr>
        <a:xfrm rot="16200000" flipH="1">
          <a:off x="4114800" y="419100"/>
          <a:ext cx="838200" cy="1549400"/>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xdr:colOff>
      <xdr:row>26</xdr:row>
      <xdr:rowOff>44450</xdr:rowOff>
    </xdr:from>
    <xdr:to>
      <xdr:col>6</xdr:col>
      <xdr:colOff>0</xdr:colOff>
      <xdr:row>26</xdr:row>
      <xdr:rowOff>44450</xdr:rowOff>
    </xdr:to>
    <xdr:cxnSp macro="">
      <xdr:nvCxnSpPr>
        <xdr:cNvPr id="50" name="直线箭头连接符 49">
          <a:extLst>
            <a:ext uri="{FF2B5EF4-FFF2-40B4-BE49-F238E27FC236}">
              <a16:creationId xmlns="" xmlns:a16="http://schemas.microsoft.com/office/drawing/2014/main" id="{2BF727CA-2B91-2E4B-A271-C57BE72576B4}"/>
            </a:ext>
          </a:extLst>
        </xdr:cNvPr>
        <xdr:cNvCxnSpPr>
          <a:stCxn id="8" idx="1"/>
          <a:endCxn id="7" idx="3"/>
        </xdr:cNvCxnSpPr>
      </xdr:nvCxnSpPr>
      <xdr:spPr>
        <a:xfrm flipH="1">
          <a:off x="2717800" y="5327650"/>
          <a:ext cx="16383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24</xdr:row>
      <xdr:rowOff>50800</xdr:rowOff>
    </xdr:from>
    <xdr:to>
      <xdr:col>6</xdr:col>
      <xdr:colOff>457200</xdr:colOff>
      <xdr:row>26</xdr:row>
      <xdr:rowOff>0</xdr:rowOff>
    </xdr:to>
    <xdr:sp macro="" textlink="">
      <xdr:nvSpPr>
        <xdr:cNvPr id="51" name="圆角矩形 50">
          <a:extLst>
            <a:ext uri="{FF2B5EF4-FFF2-40B4-BE49-F238E27FC236}">
              <a16:creationId xmlns="" xmlns:a16="http://schemas.microsoft.com/office/drawing/2014/main" id="{DF8CADF5-0A77-8545-B938-BCF8BDA4CA23}"/>
            </a:ext>
          </a:extLst>
        </xdr:cNvPr>
        <xdr:cNvSpPr/>
      </xdr:nvSpPr>
      <xdr:spPr>
        <a:xfrm>
          <a:off x="3098800" y="4927600"/>
          <a:ext cx="17145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公众监督</a:t>
          </a:r>
        </a:p>
      </xdr:txBody>
    </xdr:sp>
    <xdr:clientData/>
  </xdr:twoCellAnchor>
  <xdr:twoCellAnchor>
    <xdr:from>
      <xdr:col>5</xdr:col>
      <xdr:colOff>50800</xdr:colOff>
      <xdr:row>10</xdr:row>
      <xdr:rowOff>139700</xdr:rowOff>
    </xdr:from>
    <xdr:to>
      <xdr:col>6</xdr:col>
      <xdr:colOff>812800</xdr:colOff>
      <xdr:row>12</xdr:row>
      <xdr:rowOff>88900</xdr:rowOff>
    </xdr:to>
    <xdr:sp macro="" textlink="">
      <xdr:nvSpPr>
        <xdr:cNvPr id="60" name="圆角矩形 59">
          <a:extLst>
            <a:ext uri="{FF2B5EF4-FFF2-40B4-BE49-F238E27FC236}">
              <a16:creationId xmlns="" xmlns:a16="http://schemas.microsoft.com/office/drawing/2014/main" id="{8DFA383E-6397-B040-B2A8-11249ED32DBA}"/>
            </a:ext>
          </a:extLst>
        </xdr:cNvPr>
        <xdr:cNvSpPr/>
      </xdr:nvSpPr>
      <xdr:spPr>
        <a:xfrm>
          <a:off x="3581400" y="2171700"/>
          <a:ext cx="15875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签署</a:t>
          </a:r>
          <a:r>
            <a:rPr lang="en-US" altLang="zh-CN" sz="1400">
              <a:solidFill>
                <a:schemeClr val="tx1"/>
              </a:solidFill>
            </a:rPr>
            <a:t>PPP</a:t>
          </a:r>
          <a:r>
            <a:rPr lang="zh-CN" altLang="en-US" sz="1400">
              <a:solidFill>
                <a:schemeClr val="tx1"/>
              </a:solidFill>
            </a:rPr>
            <a:t>项目合同</a:t>
          </a:r>
        </a:p>
      </xdr:txBody>
    </xdr:sp>
    <xdr:clientData/>
  </xdr:twoCellAnchor>
  <xdr:twoCellAnchor>
    <xdr:from>
      <xdr:col>5</xdr:col>
      <xdr:colOff>508000</xdr:colOff>
      <xdr:row>16</xdr:row>
      <xdr:rowOff>0</xdr:rowOff>
    </xdr:from>
    <xdr:to>
      <xdr:col>7</xdr:col>
      <xdr:colOff>444500</xdr:colOff>
      <xdr:row>17</xdr:row>
      <xdr:rowOff>152400</xdr:rowOff>
    </xdr:to>
    <xdr:sp macro="" textlink="">
      <xdr:nvSpPr>
        <xdr:cNvPr id="61" name="圆角矩形 60">
          <a:extLst>
            <a:ext uri="{FF2B5EF4-FFF2-40B4-BE49-F238E27FC236}">
              <a16:creationId xmlns="" xmlns:a16="http://schemas.microsoft.com/office/drawing/2014/main" id="{2262423B-CBEE-FD41-A8E9-3D616757FB98}"/>
            </a:ext>
          </a:extLst>
        </xdr:cNvPr>
        <xdr:cNvSpPr/>
      </xdr:nvSpPr>
      <xdr:spPr>
        <a:xfrm>
          <a:off x="4038600" y="3251200"/>
          <a:ext cx="1587500" cy="355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400">
              <a:solidFill>
                <a:schemeClr val="tx1"/>
              </a:solidFill>
            </a:rPr>
            <a:t>签署承继协议</a:t>
          </a:r>
        </a:p>
      </xdr:txBody>
    </xdr:sp>
    <xdr:clientData/>
  </xdr:twoCellAnchor>
  <xdr:twoCellAnchor>
    <xdr:from>
      <xdr:col>4</xdr:col>
      <xdr:colOff>431800</xdr:colOff>
      <xdr:row>33</xdr:row>
      <xdr:rowOff>190500</xdr:rowOff>
    </xdr:from>
    <xdr:to>
      <xdr:col>6</xdr:col>
      <xdr:colOff>419100</xdr:colOff>
      <xdr:row>36</xdr:row>
      <xdr:rowOff>12700</xdr:rowOff>
    </xdr:to>
    <xdr:sp macro="" textlink="">
      <xdr:nvSpPr>
        <xdr:cNvPr id="9" name="圆角矩形 8">
          <a:extLst>
            <a:ext uri="{FF2B5EF4-FFF2-40B4-BE49-F238E27FC236}">
              <a16:creationId xmlns="" xmlns:a16="http://schemas.microsoft.com/office/drawing/2014/main" id="{350F8FC9-4AE8-1044-8997-FEF2487FEAC1}"/>
            </a:ext>
          </a:extLst>
        </xdr:cNvPr>
        <xdr:cNvSpPr/>
      </xdr:nvSpPr>
      <xdr:spPr>
        <a:xfrm>
          <a:off x="3136900" y="6896100"/>
          <a:ext cx="1638300" cy="4318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600">
              <a:solidFill>
                <a:schemeClr val="tx1"/>
              </a:solidFill>
            </a:rPr>
            <a:t>实施机构</a:t>
          </a:r>
        </a:p>
      </xdr:txBody>
    </xdr:sp>
    <xdr:clientData/>
  </xdr:twoCellAnchor>
  <xdr:twoCellAnchor>
    <xdr:from>
      <xdr:col>1</xdr:col>
      <xdr:colOff>0</xdr:colOff>
      <xdr:row>33</xdr:row>
      <xdr:rowOff>190500</xdr:rowOff>
    </xdr:from>
    <xdr:to>
      <xdr:col>2</xdr:col>
      <xdr:colOff>812800</xdr:colOff>
      <xdr:row>36</xdr:row>
      <xdr:rowOff>25400</xdr:rowOff>
    </xdr:to>
    <xdr:sp macro="" textlink="">
      <xdr:nvSpPr>
        <xdr:cNvPr id="28" name="圆角矩形 27">
          <a:extLst>
            <a:ext uri="{FF2B5EF4-FFF2-40B4-BE49-F238E27FC236}">
              <a16:creationId xmlns="" xmlns:a16="http://schemas.microsoft.com/office/drawing/2014/main" id="{25150FF7-DDCB-B347-8047-E5431DE5C2F5}"/>
            </a:ext>
          </a:extLst>
        </xdr:cNvPr>
        <xdr:cNvSpPr/>
      </xdr:nvSpPr>
      <xdr:spPr>
        <a:xfrm>
          <a:off x="228600" y="6896100"/>
          <a:ext cx="1638300" cy="444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600">
              <a:solidFill>
                <a:schemeClr val="tx1"/>
              </a:solidFill>
            </a:rPr>
            <a:t>区财政局</a:t>
          </a:r>
        </a:p>
      </xdr:txBody>
    </xdr:sp>
    <xdr:clientData/>
  </xdr:twoCellAnchor>
  <xdr:twoCellAnchor>
    <xdr:from>
      <xdr:col>4</xdr:col>
      <xdr:colOff>431800</xdr:colOff>
      <xdr:row>40</xdr:row>
      <xdr:rowOff>25400</xdr:rowOff>
    </xdr:from>
    <xdr:to>
      <xdr:col>6</xdr:col>
      <xdr:colOff>431800</xdr:colOff>
      <xdr:row>42</xdr:row>
      <xdr:rowOff>25400</xdr:rowOff>
    </xdr:to>
    <xdr:sp macro="" textlink="">
      <xdr:nvSpPr>
        <xdr:cNvPr id="29" name="圆角矩形 28">
          <a:extLst>
            <a:ext uri="{FF2B5EF4-FFF2-40B4-BE49-F238E27FC236}">
              <a16:creationId xmlns="" xmlns:a16="http://schemas.microsoft.com/office/drawing/2014/main" id="{2570F988-E943-3A40-8CFC-A2A69BEE19CC}"/>
            </a:ext>
          </a:extLst>
        </xdr:cNvPr>
        <xdr:cNvSpPr/>
      </xdr:nvSpPr>
      <xdr:spPr>
        <a:xfrm>
          <a:off x="3136900" y="8153400"/>
          <a:ext cx="1651000" cy="406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600">
              <a:solidFill>
                <a:schemeClr val="tx1"/>
              </a:solidFill>
            </a:rPr>
            <a:t>项目公司</a:t>
          </a:r>
        </a:p>
      </xdr:txBody>
    </xdr:sp>
    <xdr:clientData/>
  </xdr:twoCellAnchor>
  <xdr:twoCellAnchor>
    <xdr:from>
      <xdr:col>1</xdr:col>
      <xdr:colOff>12700</xdr:colOff>
      <xdr:row>40</xdr:row>
      <xdr:rowOff>12700</xdr:rowOff>
    </xdr:from>
    <xdr:to>
      <xdr:col>3</xdr:col>
      <xdr:colOff>0</xdr:colOff>
      <xdr:row>41</xdr:row>
      <xdr:rowOff>190500</xdr:rowOff>
    </xdr:to>
    <xdr:sp macro="" textlink="">
      <xdr:nvSpPr>
        <xdr:cNvPr id="31" name="圆角矩形 30">
          <a:extLst>
            <a:ext uri="{FF2B5EF4-FFF2-40B4-BE49-F238E27FC236}">
              <a16:creationId xmlns="" xmlns:a16="http://schemas.microsoft.com/office/drawing/2014/main" id="{73239BD5-2705-774A-B2E2-640ACEFCE84C}"/>
            </a:ext>
          </a:extLst>
        </xdr:cNvPr>
        <xdr:cNvSpPr/>
      </xdr:nvSpPr>
      <xdr:spPr>
        <a:xfrm>
          <a:off x="241300" y="8140700"/>
          <a:ext cx="1638300" cy="3810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600">
              <a:solidFill>
                <a:schemeClr val="tx1"/>
              </a:solidFill>
            </a:rPr>
            <a:t>金融机构</a:t>
          </a:r>
        </a:p>
      </xdr:txBody>
    </xdr:sp>
    <xdr:clientData/>
  </xdr:twoCellAnchor>
  <xdr:twoCellAnchor>
    <xdr:from>
      <xdr:col>8</xdr:col>
      <xdr:colOff>0</xdr:colOff>
      <xdr:row>37</xdr:row>
      <xdr:rowOff>0</xdr:rowOff>
    </xdr:from>
    <xdr:to>
      <xdr:col>9</xdr:col>
      <xdr:colOff>800100</xdr:colOff>
      <xdr:row>39</xdr:row>
      <xdr:rowOff>0</xdr:rowOff>
    </xdr:to>
    <xdr:sp macro="" textlink="">
      <xdr:nvSpPr>
        <xdr:cNvPr id="35" name="圆角矩形 34">
          <a:extLst>
            <a:ext uri="{FF2B5EF4-FFF2-40B4-BE49-F238E27FC236}">
              <a16:creationId xmlns="" xmlns:a16="http://schemas.microsoft.com/office/drawing/2014/main" id="{7CE557B7-37EF-2F44-AB50-1747D8307CB7}"/>
            </a:ext>
          </a:extLst>
        </xdr:cNvPr>
        <xdr:cNvSpPr/>
      </xdr:nvSpPr>
      <xdr:spPr>
        <a:xfrm>
          <a:off x="6007100" y="7518400"/>
          <a:ext cx="1625600" cy="406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400">
              <a:solidFill>
                <a:schemeClr val="tx1"/>
              </a:solidFill>
            </a:rPr>
            <a:t>政府方出资代表</a:t>
          </a:r>
        </a:p>
      </xdr:txBody>
    </xdr:sp>
    <xdr:clientData/>
  </xdr:twoCellAnchor>
  <xdr:twoCellAnchor>
    <xdr:from>
      <xdr:col>8</xdr:col>
      <xdr:colOff>12700</xdr:colOff>
      <xdr:row>42</xdr:row>
      <xdr:rowOff>12700</xdr:rowOff>
    </xdr:from>
    <xdr:to>
      <xdr:col>10</xdr:col>
      <xdr:colOff>12700</xdr:colOff>
      <xdr:row>44</xdr:row>
      <xdr:rowOff>12700</xdr:rowOff>
    </xdr:to>
    <xdr:sp macro="" textlink="">
      <xdr:nvSpPr>
        <xdr:cNvPr id="36" name="圆角矩形 35">
          <a:extLst>
            <a:ext uri="{FF2B5EF4-FFF2-40B4-BE49-F238E27FC236}">
              <a16:creationId xmlns="" xmlns:a16="http://schemas.microsoft.com/office/drawing/2014/main" id="{CAE8244C-B37A-784D-A854-DB9CEF61190D}"/>
            </a:ext>
          </a:extLst>
        </xdr:cNvPr>
        <xdr:cNvSpPr/>
      </xdr:nvSpPr>
      <xdr:spPr>
        <a:xfrm>
          <a:off x="6019800" y="8547100"/>
          <a:ext cx="1651000" cy="406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600">
              <a:solidFill>
                <a:schemeClr val="tx1"/>
              </a:solidFill>
            </a:rPr>
            <a:t>中选社会资本</a:t>
          </a:r>
        </a:p>
      </xdr:txBody>
    </xdr:sp>
    <xdr:clientData/>
  </xdr:twoCellAnchor>
  <xdr:twoCellAnchor>
    <xdr:from>
      <xdr:col>3</xdr:col>
      <xdr:colOff>50800</xdr:colOff>
      <xdr:row>46</xdr:row>
      <xdr:rowOff>0</xdr:rowOff>
    </xdr:from>
    <xdr:to>
      <xdr:col>7</xdr:col>
      <xdr:colOff>812800</xdr:colOff>
      <xdr:row>51</xdr:row>
      <xdr:rowOff>63500</xdr:rowOff>
    </xdr:to>
    <xdr:sp macro="" textlink="">
      <xdr:nvSpPr>
        <xdr:cNvPr id="37" name="圆角矩形 36">
          <a:extLst>
            <a:ext uri="{FF2B5EF4-FFF2-40B4-BE49-F238E27FC236}">
              <a16:creationId xmlns="" xmlns:a16="http://schemas.microsoft.com/office/drawing/2014/main" id="{7DCAD647-4DD0-5242-9AFC-1393DF584DEB}"/>
            </a:ext>
          </a:extLst>
        </xdr:cNvPr>
        <xdr:cNvSpPr/>
      </xdr:nvSpPr>
      <xdr:spPr>
        <a:xfrm>
          <a:off x="1930400" y="9347200"/>
          <a:ext cx="4064000" cy="1079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600">
              <a:solidFill>
                <a:schemeClr val="tx1"/>
              </a:solidFill>
            </a:rPr>
            <a:t>项目产出</a:t>
          </a:r>
          <a:endParaRPr lang="en-US" altLang="zh-CN" sz="1600">
            <a:solidFill>
              <a:schemeClr val="tx1"/>
            </a:solidFill>
          </a:endParaRPr>
        </a:p>
        <a:p>
          <a:pPr algn="ctr"/>
          <a:endParaRPr lang="en-US" altLang="zh-CN" sz="1600">
            <a:solidFill>
              <a:schemeClr val="tx1"/>
            </a:solidFill>
          </a:endParaRPr>
        </a:p>
        <a:p>
          <a:pPr algn="ctr"/>
          <a:r>
            <a:rPr lang="zh-CN" altLang="en-US" sz="1600">
              <a:solidFill>
                <a:schemeClr val="tx1"/>
              </a:solidFill>
            </a:rPr>
            <a:t>泵站、道路、管网、消防站、标准化厂房</a:t>
          </a:r>
        </a:p>
      </xdr:txBody>
    </xdr:sp>
    <xdr:clientData/>
  </xdr:twoCellAnchor>
  <xdr:twoCellAnchor>
    <xdr:from>
      <xdr:col>4</xdr:col>
      <xdr:colOff>368300</xdr:colOff>
      <xdr:row>54</xdr:row>
      <xdr:rowOff>101600</xdr:rowOff>
    </xdr:from>
    <xdr:to>
      <xdr:col>6</xdr:col>
      <xdr:colOff>520700</xdr:colOff>
      <xdr:row>56</xdr:row>
      <xdr:rowOff>114300</xdr:rowOff>
    </xdr:to>
    <xdr:sp macro="" textlink="">
      <xdr:nvSpPr>
        <xdr:cNvPr id="38" name="圆角矩形 37">
          <a:extLst>
            <a:ext uri="{FF2B5EF4-FFF2-40B4-BE49-F238E27FC236}">
              <a16:creationId xmlns="" xmlns:a16="http://schemas.microsoft.com/office/drawing/2014/main" id="{4649D6A7-203C-1A45-AF56-A42B74C4EE16}"/>
            </a:ext>
          </a:extLst>
        </xdr:cNvPr>
        <xdr:cNvSpPr/>
      </xdr:nvSpPr>
      <xdr:spPr>
        <a:xfrm>
          <a:off x="3073400" y="11074400"/>
          <a:ext cx="1803400" cy="419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600">
              <a:solidFill>
                <a:schemeClr val="tx1"/>
              </a:solidFill>
            </a:rPr>
            <a:t>园区企业</a:t>
          </a:r>
        </a:p>
      </xdr:txBody>
    </xdr:sp>
    <xdr:clientData/>
  </xdr:twoCellAnchor>
  <xdr:twoCellAnchor>
    <xdr:from>
      <xdr:col>2</xdr:col>
      <xdr:colOff>812800</xdr:colOff>
      <xdr:row>35</xdr:row>
      <xdr:rowOff>0</xdr:rowOff>
    </xdr:from>
    <xdr:to>
      <xdr:col>4</xdr:col>
      <xdr:colOff>431800</xdr:colOff>
      <xdr:row>35</xdr:row>
      <xdr:rowOff>0</xdr:rowOff>
    </xdr:to>
    <xdr:cxnSp macro="">
      <xdr:nvCxnSpPr>
        <xdr:cNvPr id="11" name="直线箭头连接符 10">
          <a:extLst>
            <a:ext uri="{FF2B5EF4-FFF2-40B4-BE49-F238E27FC236}">
              <a16:creationId xmlns="" xmlns:a16="http://schemas.microsoft.com/office/drawing/2014/main" id="{629ABD67-8E4F-1A46-B03F-8FC83B924CB1}"/>
            </a:ext>
          </a:extLst>
        </xdr:cNvPr>
        <xdr:cNvCxnSpPr>
          <a:stCxn id="28" idx="3"/>
          <a:endCxn id="9" idx="1"/>
        </xdr:cNvCxnSpPr>
      </xdr:nvCxnSpPr>
      <xdr:spPr>
        <a:xfrm flipV="1">
          <a:off x="1866900" y="7112000"/>
          <a:ext cx="127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40</xdr:row>
      <xdr:rowOff>114300</xdr:rowOff>
    </xdr:from>
    <xdr:to>
      <xdr:col>4</xdr:col>
      <xdr:colOff>444500</xdr:colOff>
      <xdr:row>40</xdr:row>
      <xdr:rowOff>114300</xdr:rowOff>
    </xdr:to>
    <xdr:cxnSp macro="">
      <xdr:nvCxnSpPr>
        <xdr:cNvPr id="13" name="直线箭头连接符 12">
          <a:extLst>
            <a:ext uri="{FF2B5EF4-FFF2-40B4-BE49-F238E27FC236}">
              <a16:creationId xmlns="" xmlns:a16="http://schemas.microsoft.com/office/drawing/2014/main" id="{E4F0E766-7E39-2B47-AC7C-345F0F1C130D}"/>
            </a:ext>
          </a:extLst>
        </xdr:cNvPr>
        <xdr:cNvCxnSpPr/>
      </xdr:nvCxnSpPr>
      <xdr:spPr>
        <a:xfrm>
          <a:off x="1892300" y="8242300"/>
          <a:ext cx="12573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800100</xdr:colOff>
      <xdr:row>41</xdr:row>
      <xdr:rowOff>88900</xdr:rowOff>
    </xdr:from>
    <xdr:to>
      <xdr:col>4</xdr:col>
      <xdr:colOff>431800</xdr:colOff>
      <xdr:row>41</xdr:row>
      <xdr:rowOff>88900</xdr:rowOff>
    </xdr:to>
    <xdr:cxnSp macro="">
      <xdr:nvCxnSpPr>
        <xdr:cNvPr id="15" name="直线箭头连接符 14">
          <a:extLst>
            <a:ext uri="{FF2B5EF4-FFF2-40B4-BE49-F238E27FC236}">
              <a16:creationId xmlns="" xmlns:a16="http://schemas.microsoft.com/office/drawing/2014/main" id="{12609CFA-F8D4-6942-8C02-6E852102DA40}"/>
            </a:ext>
          </a:extLst>
        </xdr:cNvPr>
        <xdr:cNvCxnSpPr/>
      </xdr:nvCxnSpPr>
      <xdr:spPr>
        <a:xfrm flipH="1" flipV="1">
          <a:off x="1854200" y="8420100"/>
          <a:ext cx="12827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425450</xdr:colOff>
      <xdr:row>36</xdr:row>
      <xdr:rowOff>12700</xdr:rowOff>
    </xdr:from>
    <xdr:to>
      <xdr:col>5</xdr:col>
      <xdr:colOff>425450</xdr:colOff>
      <xdr:row>40</xdr:row>
      <xdr:rowOff>25400</xdr:rowOff>
    </xdr:to>
    <xdr:cxnSp macro="">
      <xdr:nvCxnSpPr>
        <xdr:cNvPr id="17" name="直线箭头连接符 16">
          <a:extLst>
            <a:ext uri="{FF2B5EF4-FFF2-40B4-BE49-F238E27FC236}">
              <a16:creationId xmlns="" xmlns:a16="http://schemas.microsoft.com/office/drawing/2014/main" id="{752E0FB0-BA78-5844-8E38-A262B5157D23}"/>
            </a:ext>
          </a:extLst>
        </xdr:cNvPr>
        <xdr:cNvCxnSpPr>
          <a:stCxn id="9" idx="2"/>
          <a:endCxn id="29" idx="0"/>
        </xdr:cNvCxnSpPr>
      </xdr:nvCxnSpPr>
      <xdr:spPr>
        <a:xfrm>
          <a:off x="3956050" y="7327900"/>
          <a:ext cx="0" cy="825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431800</xdr:colOff>
      <xdr:row>38</xdr:row>
      <xdr:rowOff>0</xdr:rowOff>
    </xdr:from>
    <xdr:to>
      <xdr:col>8</xdr:col>
      <xdr:colOff>0</xdr:colOff>
      <xdr:row>41</xdr:row>
      <xdr:rowOff>25400</xdr:rowOff>
    </xdr:to>
    <xdr:cxnSp macro="">
      <xdr:nvCxnSpPr>
        <xdr:cNvPr id="19" name="肘形连接符 18">
          <a:extLst>
            <a:ext uri="{FF2B5EF4-FFF2-40B4-BE49-F238E27FC236}">
              <a16:creationId xmlns="" xmlns:a16="http://schemas.microsoft.com/office/drawing/2014/main" id="{D4190DF2-BF05-2F4F-8C89-DA963611D618}"/>
            </a:ext>
          </a:extLst>
        </xdr:cNvPr>
        <xdr:cNvCxnSpPr>
          <a:stCxn id="29" idx="3"/>
          <a:endCxn id="35" idx="1"/>
        </xdr:cNvCxnSpPr>
      </xdr:nvCxnSpPr>
      <xdr:spPr>
        <a:xfrm flipV="1">
          <a:off x="4787900" y="7721600"/>
          <a:ext cx="1219200" cy="635000"/>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431800</xdr:colOff>
      <xdr:row>41</xdr:row>
      <xdr:rowOff>25400</xdr:rowOff>
    </xdr:from>
    <xdr:to>
      <xdr:col>8</xdr:col>
      <xdr:colOff>12700</xdr:colOff>
      <xdr:row>43</xdr:row>
      <xdr:rowOff>12700</xdr:rowOff>
    </xdr:to>
    <xdr:cxnSp macro="">
      <xdr:nvCxnSpPr>
        <xdr:cNvPr id="22" name="肘形连接符 21">
          <a:extLst>
            <a:ext uri="{FF2B5EF4-FFF2-40B4-BE49-F238E27FC236}">
              <a16:creationId xmlns="" xmlns:a16="http://schemas.microsoft.com/office/drawing/2014/main" id="{7A628F7E-7D49-E046-A34D-B9AA8B58B234}"/>
            </a:ext>
          </a:extLst>
        </xdr:cNvPr>
        <xdr:cNvCxnSpPr>
          <a:stCxn id="29" idx="3"/>
          <a:endCxn id="36" idx="1"/>
        </xdr:cNvCxnSpPr>
      </xdr:nvCxnSpPr>
      <xdr:spPr>
        <a:xfrm>
          <a:off x="4787900" y="8356600"/>
          <a:ext cx="1231900" cy="393700"/>
        </a:xfrm>
        <a:prstGeom prst="bentConnector3">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812800</xdr:colOff>
      <xdr:row>39</xdr:row>
      <xdr:rowOff>0</xdr:rowOff>
    </xdr:from>
    <xdr:to>
      <xdr:col>8</xdr:col>
      <xdr:colOff>812800</xdr:colOff>
      <xdr:row>42</xdr:row>
      <xdr:rowOff>12700</xdr:rowOff>
    </xdr:to>
    <xdr:cxnSp macro="">
      <xdr:nvCxnSpPr>
        <xdr:cNvPr id="25" name="直线连接符 24">
          <a:extLst>
            <a:ext uri="{FF2B5EF4-FFF2-40B4-BE49-F238E27FC236}">
              <a16:creationId xmlns="" xmlns:a16="http://schemas.microsoft.com/office/drawing/2014/main" id="{55B39363-1783-9049-8E10-EE6C66194044}"/>
            </a:ext>
          </a:extLst>
        </xdr:cNvPr>
        <xdr:cNvCxnSpPr>
          <a:stCxn id="35" idx="2"/>
          <a:endCxn id="36" idx="0"/>
        </xdr:cNvCxnSpPr>
      </xdr:nvCxnSpPr>
      <xdr:spPr>
        <a:xfrm>
          <a:off x="6819900" y="7924800"/>
          <a:ext cx="0" cy="622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635000</xdr:colOff>
      <xdr:row>42</xdr:row>
      <xdr:rowOff>50800</xdr:rowOff>
    </xdr:from>
    <xdr:to>
      <xdr:col>4</xdr:col>
      <xdr:colOff>635000</xdr:colOff>
      <xdr:row>46</xdr:row>
      <xdr:rowOff>50800</xdr:rowOff>
    </xdr:to>
    <xdr:cxnSp macro="">
      <xdr:nvCxnSpPr>
        <xdr:cNvPr id="39" name="直线箭头连接符 38">
          <a:extLst>
            <a:ext uri="{FF2B5EF4-FFF2-40B4-BE49-F238E27FC236}">
              <a16:creationId xmlns="" xmlns:a16="http://schemas.microsoft.com/office/drawing/2014/main" id="{624B9F2B-AD2F-564E-A0C1-2B68821BCC61}"/>
            </a:ext>
          </a:extLst>
        </xdr:cNvPr>
        <xdr:cNvCxnSpPr/>
      </xdr:nvCxnSpPr>
      <xdr:spPr>
        <a:xfrm flipH="1">
          <a:off x="3340100" y="8585200"/>
          <a:ext cx="0" cy="812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42</xdr:row>
      <xdr:rowOff>12700</xdr:rowOff>
    </xdr:from>
    <xdr:to>
      <xdr:col>6</xdr:col>
      <xdr:colOff>114300</xdr:colOff>
      <xdr:row>46</xdr:row>
      <xdr:rowOff>22860</xdr:rowOff>
    </xdr:to>
    <xdr:cxnSp macro="">
      <xdr:nvCxnSpPr>
        <xdr:cNvPr id="45" name="直线箭头连接符 44">
          <a:extLst>
            <a:ext uri="{FF2B5EF4-FFF2-40B4-BE49-F238E27FC236}">
              <a16:creationId xmlns="" xmlns:a16="http://schemas.microsoft.com/office/drawing/2014/main" id="{16FE4B5C-C112-2147-A790-B40A010A99B3}"/>
            </a:ext>
          </a:extLst>
        </xdr:cNvPr>
        <xdr:cNvCxnSpPr/>
      </xdr:nvCxnSpPr>
      <xdr:spPr>
        <a:xfrm flipH="1" flipV="1">
          <a:off x="4470400" y="8547100"/>
          <a:ext cx="0" cy="8229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622300</xdr:colOff>
      <xdr:row>51</xdr:row>
      <xdr:rowOff>76200</xdr:rowOff>
    </xdr:from>
    <xdr:to>
      <xdr:col>4</xdr:col>
      <xdr:colOff>622300</xdr:colOff>
      <xdr:row>54</xdr:row>
      <xdr:rowOff>139700</xdr:rowOff>
    </xdr:to>
    <xdr:cxnSp macro="">
      <xdr:nvCxnSpPr>
        <xdr:cNvPr id="49" name="直线箭头连接符 48">
          <a:extLst>
            <a:ext uri="{FF2B5EF4-FFF2-40B4-BE49-F238E27FC236}">
              <a16:creationId xmlns="" xmlns:a16="http://schemas.microsoft.com/office/drawing/2014/main" id="{19671BFD-319D-504F-BB64-BFB1ACCABECF}"/>
            </a:ext>
          </a:extLst>
        </xdr:cNvPr>
        <xdr:cNvCxnSpPr/>
      </xdr:nvCxnSpPr>
      <xdr:spPr>
        <a:xfrm>
          <a:off x="3327400" y="10439400"/>
          <a:ext cx="0" cy="6731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xdr:colOff>
      <xdr:row>51</xdr:row>
      <xdr:rowOff>50800</xdr:rowOff>
    </xdr:from>
    <xdr:to>
      <xdr:col>6</xdr:col>
      <xdr:colOff>25400</xdr:colOff>
      <xdr:row>54</xdr:row>
      <xdr:rowOff>101600</xdr:rowOff>
    </xdr:to>
    <xdr:cxnSp macro="">
      <xdr:nvCxnSpPr>
        <xdr:cNvPr id="53" name="直线箭头连接符 52">
          <a:extLst>
            <a:ext uri="{FF2B5EF4-FFF2-40B4-BE49-F238E27FC236}">
              <a16:creationId xmlns="" xmlns:a16="http://schemas.microsoft.com/office/drawing/2014/main" id="{EFB6129E-BB77-EE41-B92B-3CC1404A1C19}"/>
            </a:ext>
          </a:extLst>
        </xdr:cNvPr>
        <xdr:cNvCxnSpPr/>
      </xdr:nvCxnSpPr>
      <xdr:spPr>
        <a:xfrm flipH="1" flipV="1">
          <a:off x="4381500" y="10414000"/>
          <a:ext cx="0" cy="6604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165100</xdr:colOff>
      <xdr:row>33</xdr:row>
      <xdr:rowOff>76200</xdr:rowOff>
    </xdr:from>
    <xdr:to>
      <xdr:col>4</xdr:col>
      <xdr:colOff>241300</xdr:colOff>
      <xdr:row>34</xdr:row>
      <xdr:rowOff>190500</xdr:rowOff>
    </xdr:to>
    <xdr:sp macro="" textlink="">
      <xdr:nvSpPr>
        <xdr:cNvPr id="54" name="圆角矩形 53">
          <a:extLst>
            <a:ext uri="{FF2B5EF4-FFF2-40B4-BE49-F238E27FC236}">
              <a16:creationId xmlns="" xmlns:a16="http://schemas.microsoft.com/office/drawing/2014/main" id="{4142961F-41B0-484D-9C6F-0B56B55EF3F1}"/>
            </a:ext>
          </a:extLst>
        </xdr:cNvPr>
        <xdr:cNvSpPr/>
      </xdr:nvSpPr>
      <xdr:spPr>
        <a:xfrm>
          <a:off x="2044700" y="67818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安排预算</a:t>
          </a:r>
        </a:p>
      </xdr:txBody>
    </xdr:sp>
    <xdr:clientData/>
  </xdr:twoCellAnchor>
  <xdr:twoCellAnchor>
    <xdr:from>
      <xdr:col>9</xdr:col>
      <xdr:colOff>0</xdr:colOff>
      <xdr:row>40</xdr:row>
      <xdr:rowOff>0</xdr:rowOff>
    </xdr:from>
    <xdr:to>
      <xdr:col>10</xdr:col>
      <xdr:colOff>76200</xdr:colOff>
      <xdr:row>41</xdr:row>
      <xdr:rowOff>114300</xdr:rowOff>
    </xdr:to>
    <xdr:sp macro="" textlink="">
      <xdr:nvSpPr>
        <xdr:cNvPr id="58" name="圆角矩形 57">
          <a:extLst>
            <a:ext uri="{FF2B5EF4-FFF2-40B4-BE49-F238E27FC236}">
              <a16:creationId xmlns="" xmlns:a16="http://schemas.microsoft.com/office/drawing/2014/main" id="{3C870545-C985-0F46-B478-445421D28247}"/>
            </a:ext>
          </a:extLst>
        </xdr:cNvPr>
        <xdr:cNvSpPr/>
      </xdr:nvSpPr>
      <xdr:spPr>
        <a:xfrm>
          <a:off x="6832600" y="81280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股东协议</a:t>
          </a:r>
        </a:p>
      </xdr:txBody>
    </xdr:sp>
    <xdr:clientData/>
  </xdr:twoCellAnchor>
  <xdr:twoCellAnchor>
    <xdr:from>
      <xdr:col>7</xdr:col>
      <xdr:colOff>25400</xdr:colOff>
      <xdr:row>36</xdr:row>
      <xdr:rowOff>127000</xdr:rowOff>
    </xdr:from>
    <xdr:to>
      <xdr:col>8</xdr:col>
      <xdr:colOff>101600</xdr:colOff>
      <xdr:row>38</xdr:row>
      <xdr:rowOff>38100</xdr:rowOff>
    </xdr:to>
    <xdr:sp macro="" textlink="">
      <xdr:nvSpPr>
        <xdr:cNvPr id="62" name="圆角矩形 61">
          <a:extLst>
            <a:ext uri="{FF2B5EF4-FFF2-40B4-BE49-F238E27FC236}">
              <a16:creationId xmlns="" xmlns:a16="http://schemas.microsoft.com/office/drawing/2014/main" id="{D8FA77A8-AD70-6E4F-92E7-7F6FF0EE3ACF}"/>
            </a:ext>
          </a:extLst>
        </xdr:cNvPr>
        <xdr:cNvSpPr/>
      </xdr:nvSpPr>
      <xdr:spPr>
        <a:xfrm>
          <a:off x="5207000" y="74422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zh-CN" sz="1200">
              <a:solidFill>
                <a:schemeClr val="tx1"/>
              </a:solidFill>
            </a:rPr>
            <a:t>5%</a:t>
          </a:r>
          <a:r>
            <a:rPr lang="zh-CN" altLang="en-US" sz="1200">
              <a:solidFill>
                <a:schemeClr val="tx1"/>
              </a:solidFill>
            </a:rPr>
            <a:t>股权</a:t>
          </a:r>
        </a:p>
      </xdr:txBody>
    </xdr:sp>
    <xdr:clientData/>
  </xdr:twoCellAnchor>
  <xdr:twoCellAnchor>
    <xdr:from>
      <xdr:col>7</xdr:col>
      <xdr:colOff>101600</xdr:colOff>
      <xdr:row>41</xdr:row>
      <xdr:rowOff>88900</xdr:rowOff>
    </xdr:from>
    <xdr:to>
      <xdr:col>8</xdr:col>
      <xdr:colOff>177800</xdr:colOff>
      <xdr:row>43</xdr:row>
      <xdr:rowOff>12700</xdr:rowOff>
    </xdr:to>
    <xdr:sp macro="" textlink="">
      <xdr:nvSpPr>
        <xdr:cNvPr id="63" name="圆角矩形 62">
          <a:extLst>
            <a:ext uri="{FF2B5EF4-FFF2-40B4-BE49-F238E27FC236}">
              <a16:creationId xmlns="" xmlns:a16="http://schemas.microsoft.com/office/drawing/2014/main" id="{CA42DEB5-B1F3-0C40-9D88-19DB53DA5197}"/>
            </a:ext>
          </a:extLst>
        </xdr:cNvPr>
        <xdr:cNvSpPr/>
      </xdr:nvSpPr>
      <xdr:spPr>
        <a:xfrm>
          <a:off x="5283200" y="8420100"/>
          <a:ext cx="901700" cy="3302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zh-CN" sz="1200">
              <a:solidFill>
                <a:schemeClr val="tx1"/>
              </a:solidFill>
            </a:rPr>
            <a:t>95%</a:t>
          </a:r>
          <a:r>
            <a:rPr lang="zh-CN" altLang="en-US" sz="1200">
              <a:solidFill>
                <a:schemeClr val="tx1"/>
              </a:solidFill>
            </a:rPr>
            <a:t>股权</a:t>
          </a:r>
        </a:p>
      </xdr:txBody>
    </xdr:sp>
    <xdr:clientData/>
  </xdr:twoCellAnchor>
  <xdr:twoCellAnchor>
    <xdr:from>
      <xdr:col>3</xdr:col>
      <xdr:colOff>698500</xdr:colOff>
      <xdr:row>36</xdr:row>
      <xdr:rowOff>177800</xdr:rowOff>
    </xdr:from>
    <xdr:to>
      <xdr:col>5</xdr:col>
      <xdr:colOff>609600</xdr:colOff>
      <xdr:row>38</xdr:row>
      <xdr:rowOff>88900</xdr:rowOff>
    </xdr:to>
    <xdr:sp macro="" textlink="">
      <xdr:nvSpPr>
        <xdr:cNvPr id="64" name="圆角矩形 63">
          <a:extLst>
            <a:ext uri="{FF2B5EF4-FFF2-40B4-BE49-F238E27FC236}">
              <a16:creationId xmlns="" xmlns:a16="http://schemas.microsoft.com/office/drawing/2014/main" id="{F2152DF0-8D9E-5746-9D3E-487B6F473C91}"/>
            </a:ext>
          </a:extLst>
        </xdr:cNvPr>
        <xdr:cNvSpPr/>
      </xdr:nvSpPr>
      <xdr:spPr>
        <a:xfrm>
          <a:off x="2578100" y="7493000"/>
          <a:ext cx="15621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可行性缺口补助</a:t>
          </a:r>
        </a:p>
      </xdr:txBody>
    </xdr:sp>
    <xdr:clientData/>
  </xdr:twoCellAnchor>
  <xdr:twoCellAnchor>
    <xdr:from>
      <xdr:col>3</xdr:col>
      <xdr:colOff>190500</xdr:colOff>
      <xdr:row>39</xdr:row>
      <xdr:rowOff>12700</xdr:rowOff>
    </xdr:from>
    <xdr:to>
      <xdr:col>4</xdr:col>
      <xdr:colOff>266700</xdr:colOff>
      <xdr:row>40</xdr:row>
      <xdr:rowOff>127000</xdr:rowOff>
    </xdr:to>
    <xdr:sp macro="" textlink="">
      <xdr:nvSpPr>
        <xdr:cNvPr id="65" name="圆角矩形 64">
          <a:extLst>
            <a:ext uri="{FF2B5EF4-FFF2-40B4-BE49-F238E27FC236}">
              <a16:creationId xmlns="" xmlns:a16="http://schemas.microsoft.com/office/drawing/2014/main" id="{22E22D45-EFDF-BA4A-9ECF-12F25C16E413}"/>
            </a:ext>
          </a:extLst>
        </xdr:cNvPr>
        <xdr:cNvSpPr/>
      </xdr:nvSpPr>
      <xdr:spPr>
        <a:xfrm>
          <a:off x="2070100" y="79375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债务融资</a:t>
          </a:r>
        </a:p>
      </xdr:txBody>
    </xdr:sp>
    <xdr:clientData/>
  </xdr:twoCellAnchor>
  <xdr:twoCellAnchor>
    <xdr:from>
      <xdr:col>3</xdr:col>
      <xdr:colOff>190500</xdr:colOff>
      <xdr:row>41</xdr:row>
      <xdr:rowOff>127000</xdr:rowOff>
    </xdr:from>
    <xdr:to>
      <xdr:col>4</xdr:col>
      <xdr:colOff>266700</xdr:colOff>
      <xdr:row>43</xdr:row>
      <xdr:rowOff>38100</xdr:rowOff>
    </xdr:to>
    <xdr:sp macro="" textlink="">
      <xdr:nvSpPr>
        <xdr:cNvPr id="66" name="圆角矩形 65">
          <a:extLst>
            <a:ext uri="{FF2B5EF4-FFF2-40B4-BE49-F238E27FC236}">
              <a16:creationId xmlns="" xmlns:a16="http://schemas.microsoft.com/office/drawing/2014/main" id="{3C0BB5FF-03C4-AC42-98E5-AACA2271A519}"/>
            </a:ext>
          </a:extLst>
        </xdr:cNvPr>
        <xdr:cNvSpPr/>
      </xdr:nvSpPr>
      <xdr:spPr>
        <a:xfrm>
          <a:off x="2070100" y="84582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还本付息</a:t>
          </a:r>
        </a:p>
      </xdr:txBody>
    </xdr:sp>
    <xdr:clientData/>
  </xdr:twoCellAnchor>
  <xdr:twoCellAnchor>
    <xdr:from>
      <xdr:col>2</xdr:col>
      <xdr:colOff>812800</xdr:colOff>
      <xdr:row>44</xdr:row>
      <xdr:rowOff>38100</xdr:rowOff>
    </xdr:from>
    <xdr:to>
      <xdr:col>4</xdr:col>
      <xdr:colOff>774700</xdr:colOff>
      <xdr:row>45</xdr:row>
      <xdr:rowOff>152400</xdr:rowOff>
    </xdr:to>
    <xdr:sp macro="" textlink="">
      <xdr:nvSpPr>
        <xdr:cNvPr id="67" name="圆角矩形 66">
          <a:extLst>
            <a:ext uri="{FF2B5EF4-FFF2-40B4-BE49-F238E27FC236}">
              <a16:creationId xmlns="" xmlns:a16="http://schemas.microsoft.com/office/drawing/2014/main" id="{6162DA9E-14BC-EE43-994A-67FCC606B0D2}"/>
            </a:ext>
          </a:extLst>
        </xdr:cNvPr>
        <xdr:cNvSpPr/>
      </xdr:nvSpPr>
      <xdr:spPr>
        <a:xfrm>
          <a:off x="1866900" y="8978900"/>
          <a:ext cx="16129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投资、建设、运营</a:t>
          </a:r>
        </a:p>
      </xdr:txBody>
    </xdr:sp>
    <xdr:clientData/>
  </xdr:twoCellAnchor>
  <xdr:twoCellAnchor>
    <xdr:from>
      <xdr:col>6</xdr:col>
      <xdr:colOff>12700</xdr:colOff>
      <xdr:row>43</xdr:row>
      <xdr:rowOff>165100</xdr:rowOff>
    </xdr:from>
    <xdr:to>
      <xdr:col>7</xdr:col>
      <xdr:colOff>88900</xdr:colOff>
      <xdr:row>45</xdr:row>
      <xdr:rowOff>76200</xdr:rowOff>
    </xdr:to>
    <xdr:sp macro="" textlink="">
      <xdr:nvSpPr>
        <xdr:cNvPr id="68" name="圆角矩形 67">
          <a:extLst>
            <a:ext uri="{FF2B5EF4-FFF2-40B4-BE49-F238E27FC236}">
              <a16:creationId xmlns="" xmlns:a16="http://schemas.microsoft.com/office/drawing/2014/main" id="{DBFD591C-E1AC-3146-94E5-130F2A9FEF41}"/>
            </a:ext>
          </a:extLst>
        </xdr:cNvPr>
        <xdr:cNvSpPr/>
      </xdr:nvSpPr>
      <xdr:spPr>
        <a:xfrm>
          <a:off x="4368800" y="89027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运营收益</a:t>
          </a:r>
        </a:p>
      </xdr:txBody>
    </xdr:sp>
    <xdr:clientData/>
  </xdr:twoCellAnchor>
  <xdr:twoCellAnchor>
    <xdr:from>
      <xdr:col>3</xdr:col>
      <xdr:colOff>571500</xdr:colOff>
      <xdr:row>52</xdr:row>
      <xdr:rowOff>50800</xdr:rowOff>
    </xdr:from>
    <xdr:to>
      <xdr:col>4</xdr:col>
      <xdr:colOff>647700</xdr:colOff>
      <xdr:row>53</xdr:row>
      <xdr:rowOff>165100</xdr:rowOff>
    </xdr:to>
    <xdr:sp macro="" textlink="">
      <xdr:nvSpPr>
        <xdr:cNvPr id="69" name="圆角矩形 68">
          <a:extLst>
            <a:ext uri="{FF2B5EF4-FFF2-40B4-BE49-F238E27FC236}">
              <a16:creationId xmlns="" xmlns:a16="http://schemas.microsoft.com/office/drawing/2014/main" id="{3DA38BB8-D5F4-0F4A-81A1-E8B75049F3FC}"/>
            </a:ext>
          </a:extLst>
        </xdr:cNvPr>
        <xdr:cNvSpPr/>
      </xdr:nvSpPr>
      <xdr:spPr>
        <a:xfrm>
          <a:off x="2451100" y="106172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提供服务</a:t>
          </a:r>
        </a:p>
      </xdr:txBody>
    </xdr:sp>
    <xdr:clientData/>
  </xdr:twoCellAnchor>
  <xdr:twoCellAnchor>
    <xdr:from>
      <xdr:col>5</xdr:col>
      <xdr:colOff>812800</xdr:colOff>
      <xdr:row>52</xdr:row>
      <xdr:rowOff>50800</xdr:rowOff>
    </xdr:from>
    <xdr:to>
      <xdr:col>7</xdr:col>
      <xdr:colOff>63500</xdr:colOff>
      <xdr:row>53</xdr:row>
      <xdr:rowOff>165100</xdr:rowOff>
    </xdr:to>
    <xdr:sp macro="" textlink="">
      <xdr:nvSpPr>
        <xdr:cNvPr id="70" name="圆角矩形 69">
          <a:extLst>
            <a:ext uri="{FF2B5EF4-FFF2-40B4-BE49-F238E27FC236}">
              <a16:creationId xmlns="" xmlns:a16="http://schemas.microsoft.com/office/drawing/2014/main" id="{865DBAA6-A76B-4346-BE9E-771125E7E0BF}"/>
            </a:ext>
          </a:extLst>
        </xdr:cNvPr>
        <xdr:cNvSpPr/>
      </xdr:nvSpPr>
      <xdr:spPr>
        <a:xfrm>
          <a:off x="4343400" y="10617200"/>
          <a:ext cx="9017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200">
              <a:solidFill>
                <a:schemeClr val="tx1"/>
              </a:solidFill>
            </a:rPr>
            <a:t>租金</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0" workbookViewId="0">
      <selection activeCell="D45" sqref="D45:H45"/>
    </sheetView>
  </sheetViews>
  <sheetFormatPr defaultColWidth="11" defaultRowHeight="15.6"/>
  <cols>
    <col min="1" max="1" width="3" customWidth="1"/>
    <col min="11" max="11" width="3.90625" customWidth="1"/>
  </cols>
  <sheetData/>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workbookViewId="0">
      <selection activeCell="D45" sqref="D45:H45"/>
    </sheetView>
  </sheetViews>
  <sheetFormatPr defaultColWidth="11" defaultRowHeight="15.6"/>
  <cols>
    <col min="3" max="3" width="37.90625" customWidth="1"/>
    <col min="4" max="4" width="12" bestFit="1" customWidth="1"/>
  </cols>
  <sheetData>
    <row r="2" spans="2:7">
      <c r="D2" s="229"/>
    </row>
    <row r="3" spans="2:7" ht="28.8">
      <c r="B3" s="272" t="s">
        <v>0</v>
      </c>
      <c r="C3" s="272" t="s">
        <v>1</v>
      </c>
      <c r="D3" s="272" t="s">
        <v>438</v>
      </c>
      <c r="E3" s="272" t="s">
        <v>439</v>
      </c>
      <c r="F3" s="272" t="s">
        <v>440</v>
      </c>
      <c r="G3" s="272" t="s">
        <v>441</v>
      </c>
    </row>
    <row r="4" spans="2:7" ht="28.8">
      <c r="B4" s="273">
        <v>1</v>
      </c>
      <c r="C4" s="319" t="s">
        <v>448</v>
      </c>
      <c r="D4" s="320">
        <v>43983</v>
      </c>
      <c r="E4" s="273">
        <v>25</v>
      </c>
      <c r="F4" s="273">
        <v>5</v>
      </c>
      <c r="G4" s="273">
        <v>20</v>
      </c>
    </row>
    <row r="5" spans="2:7">
      <c r="B5" s="273">
        <v>2</v>
      </c>
      <c r="C5" s="319" t="s">
        <v>447</v>
      </c>
      <c r="D5" s="320">
        <v>43984</v>
      </c>
      <c r="E5" s="273">
        <v>20</v>
      </c>
      <c r="F5" s="273">
        <v>2</v>
      </c>
      <c r="G5" s="273">
        <v>18</v>
      </c>
    </row>
    <row r="6" spans="2:7" ht="28.8">
      <c r="B6" s="273">
        <v>3</v>
      </c>
      <c r="C6" s="319" t="s">
        <v>451</v>
      </c>
      <c r="D6" s="320">
        <v>44022</v>
      </c>
      <c r="E6" s="273">
        <v>17</v>
      </c>
      <c r="F6" s="273">
        <v>2</v>
      </c>
      <c r="G6" s="273">
        <v>15</v>
      </c>
    </row>
    <row r="7" spans="2:7">
      <c r="B7" s="273">
        <v>4</v>
      </c>
      <c r="C7" s="319" t="s">
        <v>445</v>
      </c>
      <c r="D7" s="320">
        <v>44044</v>
      </c>
      <c r="E7" s="273">
        <v>18</v>
      </c>
      <c r="F7" s="273">
        <v>3</v>
      </c>
      <c r="G7" s="273">
        <v>15</v>
      </c>
    </row>
    <row r="8" spans="2:7" ht="28.8">
      <c r="B8" s="273">
        <v>5</v>
      </c>
      <c r="C8" s="319" t="s">
        <v>444</v>
      </c>
      <c r="D8" s="320">
        <v>44049</v>
      </c>
      <c r="E8" s="273">
        <v>17</v>
      </c>
      <c r="F8" s="273">
        <v>2</v>
      </c>
      <c r="G8" s="273">
        <v>15</v>
      </c>
    </row>
    <row r="9" spans="2:7" ht="28.8">
      <c r="B9" s="273">
        <v>6</v>
      </c>
      <c r="C9" s="319" t="s">
        <v>454</v>
      </c>
      <c r="D9" s="320">
        <v>44060</v>
      </c>
      <c r="E9" s="273">
        <v>20</v>
      </c>
      <c r="F9" s="273">
        <v>3</v>
      </c>
      <c r="G9" s="273">
        <v>17</v>
      </c>
    </row>
    <row r="10" spans="2:7" ht="28.8">
      <c r="B10" s="273">
        <v>7</v>
      </c>
      <c r="C10" s="319" t="s">
        <v>446</v>
      </c>
      <c r="D10" s="320">
        <v>44062</v>
      </c>
      <c r="E10" s="273">
        <v>20</v>
      </c>
      <c r="F10" s="273">
        <v>2</v>
      </c>
      <c r="G10" s="273">
        <v>18</v>
      </c>
    </row>
    <row r="11" spans="2:7" ht="28.8">
      <c r="B11" s="273">
        <v>8</v>
      </c>
      <c r="C11" s="319" t="s">
        <v>456</v>
      </c>
      <c r="D11" s="320">
        <v>44070</v>
      </c>
      <c r="E11" s="273">
        <v>23</v>
      </c>
      <c r="F11" s="273">
        <v>3</v>
      </c>
      <c r="G11" s="273">
        <v>20</v>
      </c>
    </row>
    <row r="12" spans="2:7" ht="28.8">
      <c r="B12" s="273">
        <v>9</v>
      </c>
      <c r="C12" s="319" t="s">
        <v>449</v>
      </c>
      <c r="D12" s="320">
        <v>44075</v>
      </c>
      <c r="E12" s="273">
        <v>20</v>
      </c>
      <c r="F12" s="273">
        <v>2</v>
      </c>
      <c r="G12" s="273">
        <v>18</v>
      </c>
    </row>
    <row r="13" spans="2:7" ht="28.8">
      <c r="B13" s="273">
        <v>10</v>
      </c>
      <c r="C13" s="319" t="s">
        <v>450</v>
      </c>
      <c r="D13" s="320">
        <v>44077</v>
      </c>
      <c r="E13" s="273">
        <v>22</v>
      </c>
      <c r="F13" s="273">
        <v>2</v>
      </c>
      <c r="G13" s="273">
        <v>20</v>
      </c>
    </row>
    <row r="14" spans="2:7" ht="28.8">
      <c r="B14" s="273">
        <v>11</v>
      </c>
      <c r="C14" s="319" t="s">
        <v>443</v>
      </c>
      <c r="D14" s="320">
        <v>44126</v>
      </c>
      <c r="E14" s="273">
        <v>23</v>
      </c>
      <c r="F14" s="273">
        <v>3</v>
      </c>
      <c r="G14" s="273">
        <v>20</v>
      </c>
    </row>
    <row r="15" spans="2:7" ht="28.8">
      <c r="B15" s="273">
        <v>12</v>
      </c>
      <c r="C15" s="319" t="s">
        <v>442</v>
      </c>
      <c r="D15" s="320">
        <v>44176</v>
      </c>
      <c r="E15" s="273">
        <v>20</v>
      </c>
      <c r="F15" s="273">
        <v>3</v>
      </c>
      <c r="G15" s="273">
        <v>17</v>
      </c>
    </row>
    <row r="16" spans="2:7">
      <c r="B16" s="273">
        <v>13</v>
      </c>
      <c r="C16" s="319" t="s">
        <v>452</v>
      </c>
      <c r="D16" s="320">
        <v>44378</v>
      </c>
      <c r="E16" s="273">
        <v>18</v>
      </c>
      <c r="F16" s="273">
        <v>3</v>
      </c>
      <c r="G16" s="273">
        <v>15</v>
      </c>
    </row>
    <row r="17" spans="2:7">
      <c r="B17" s="273">
        <v>14</v>
      </c>
      <c r="C17" s="319" t="s">
        <v>455</v>
      </c>
      <c r="D17" s="320">
        <v>44453</v>
      </c>
      <c r="E17" s="273">
        <v>20</v>
      </c>
      <c r="F17" s="273">
        <v>3</v>
      </c>
      <c r="G17" s="273">
        <v>17</v>
      </c>
    </row>
    <row r="18" spans="2:7">
      <c r="B18" s="273">
        <v>15</v>
      </c>
      <c r="C18" s="319" t="s">
        <v>453</v>
      </c>
      <c r="D18" s="320">
        <v>44511</v>
      </c>
      <c r="E18" s="273">
        <v>25</v>
      </c>
      <c r="F18" s="273">
        <v>2</v>
      </c>
      <c r="G18" s="273">
        <v>23</v>
      </c>
    </row>
  </sheetData>
  <autoFilter ref="B3:G3">
    <sortState ref="B4:G18">
      <sortCondition ref="D3:D18"/>
    </sortState>
  </autoFilter>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opLeftCell="A5" zoomScaleNormal="100" workbookViewId="0">
      <selection activeCell="A9" sqref="A9:XFD9"/>
    </sheetView>
  </sheetViews>
  <sheetFormatPr defaultColWidth="9" defaultRowHeight="15.6"/>
  <cols>
    <col min="1" max="1" width="5" style="179" customWidth="1"/>
    <col min="2" max="2" width="28.08984375" style="179" customWidth="1"/>
    <col min="3" max="3" width="34.453125" style="179" customWidth="1"/>
    <col min="4" max="4" width="10" style="179" customWidth="1"/>
    <col min="5" max="8" width="9" style="180"/>
    <col min="9" max="9" width="10" style="180" bestFit="1" customWidth="1"/>
    <col min="10" max="11" width="12" style="180" bestFit="1" customWidth="1"/>
    <col min="12" max="14" width="9" style="180"/>
    <col min="15" max="16384" width="9" style="178"/>
  </cols>
  <sheetData>
    <row r="1" spans="1:14" ht="32.1" customHeight="1">
      <c r="A1" s="481" t="s">
        <v>365</v>
      </c>
      <c r="B1" s="481"/>
      <c r="C1" s="481"/>
      <c r="D1" s="481"/>
      <c r="E1" s="178"/>
      <c r="F1" s="178"/>
      <c r="G1" s="178"/>
      <c r="H1" s="178"/>
      <c r="I1" s="178"/>
      <c r="J1" s="178"/>
      <c r="K1" s="178"/>
      <c r="L1" s="178"/>
      <c r="M1" s="178"/>
      <c r="N1" s="178"/>
    </row>
    <row r="2" spans="1:14" ht="32.1" customHeight="1">
      <c r="A2" s="482" t="s">
        <v>359</v>
      </c>
      <c r="B2" s="482"/>
      <c r="C2" s="482"/>
      <c r="D2" s="482"/>
      <c r="E2" s="178"/>
      <c r="F2" s="178"/>
      <c r="G2" s="178"/>
      <c r="H2" s="178"/>
      <c r="I2" s="178"/>
      <c r="J2" s="178"/>
      <c r="K2" s="178"/>
      <c r="L2" s="178"/>
      <c r="M2" s="178"/>
      <c r="N2" s="178"/>
    </row>
    <row r="3" spans="1:14" ht="66.75" customHeight="1">
      <c r="A3" s="220" t="s">
        <v>0</v>
      </c>
      <c r="B3" s="220" t="s">
        <v>1</v>
      </c>
      <c r="C3" s="220" t="s">
        <v>2</v>
      </c>
      <c r="D3" s="220" t="s">
        <v>3</v>
      </c>
      <c r="E3" s="222" t="s">
        <v>390</v>
      </c>
      <c r="F3" s="223" t="s">
        <v>391</v>
      </c>
      <c r="G3" s="178"/>
      <c r="H3" s="178"/>
      <c r="I3" s="178"/>
      <c r="L3" s="178"/>
      <c r="M3" s="178"/>
      <c r="N3" s="178"/>
    </row>
    <row r="4" spans="1:14" ht="74.099999999999994" customHeight="1">
      <c r="A4" s="220">
        <v>1</v>
      </c>
      <c r="B4" s="221" t="str">
        <f>可研资料整理!C3</f>
        <v>化工产业板块雨水泵站及管网工程</v>
      </c>
      <c r="C4" s="221" t="s">
        <v>524</v>
      </c>
      <c r="D4" s="220" t="s">
        <v>5</v>
      </c>
      <c r="E4" s="220" t="s">
        <v>392</v>
      </c>
      <c r="F4" s="220" t="s">
        <v>393</v>
      </c>
      <c r="G4" s="178"/>
      <c r="H4" s="178"/>
      <c r="I4" s="178"/>
      <c r="L4" s="178"/>
      <c r="M4" s="178"/>
      <c r="N4" s="178"/>
    </row>
    <row r="5" spans="1:14" ht="43.2">
      <c r="A5" s="220">
        <v>2</v>
      </c>
      <c r="B5" s="221" t="str">
        <f>可研资料整理!C4</f>
        <v>新规划支路道路及管网建设工程</v>
      </c>
      <c r="C5" s="221" t="s">
        <v>386</v>
      </c>
      <c r="D5" s="220" t="s">
        <v>5</v>
      </c>
      <c r="E5" s="220" t="s">
        <v>392</v>
      </c>
      <c r="F5" s="220" t="s">
        <v>393</v>
      </c>
      <c r="G5" s="178"/>
      <c r="H5" s="178"/>
      <c r="I5" s="178"/>
      <c r="L5" s="178"/>
      <c r="M5" s="178"/>
      <c r="N5" s="178"/>
    </row>
    <row r="6" spans="1:14" ht="43.2">
      <c r="A6" s="220">
        <v>3</v>
      </c>
      <c r="B6" s="221" t="str">
        <f>可研资料整理!C5</f>
        <v>新规划支二路道路及管网建设工程</v>
      </c>
      <c r="C6" s="221" t="s">
        <v>387</v>
      </c>
      <c r="D6" s="220" t="s">
        <v>4</v>
      </c>
      <c r="E6" s="220" t="s">
        <v>392</v>
      </c>
      <c r="F6" s="220" t="s">
        <v>393</v>
      </c>
      <c r="G6" s="178"/>
      <c r="H6" s="178"/>
      <c r="I6" s="178"/>
      <c r="L6" s="178"/>
      <c r="M6" s="178"/>
      <c r="N6" s="178"/>
    </row>
    <row r="7" spans="1:14" ht="28.8">
      <c r="A7" s="220">
        <v>4</v>
      </c>
      <c r="B7" s="221" t="str">
        <f>可研资料整理!C6</f>
        <v>经九路（纬四路-纬九路）道路管网工程</v>
      </c>
      <c r="C7" s="221" t="s">
        <v>360</v>
      </c>
      <c r="D7" s="220" t="s">
        <v>4</v>
      </c>
      <c r="E7" s="220" t="s">
        <v>392</v>
      </c>
      <c r="F7" s="220" t="s">
        <v>393</v>
      </c>
      <c r="G7" s="178"/>
      <c r="H7" s="178"/>
      <c r="I7" s="178"/>
      <c r="L7" s="178"/>
      <c r="M7" s="178"/>
      <c r="N7" s="178"/>
    </row>
    <row r="8" spans="1:14" ht="43.2">
      <c r="A8" s="220">
        <v>5</v>
      </c>
      <c r="B8" s="221" t="str">
        <f>可研资料整理!C7</f>
        <v>纬九路（经七路-经九路）道路管网建设工程</v>
      </c>
      <c r="C8" s="221" t="s">
        <v>525</v>
      </c>
      <c r="D8" s="220" t="s">
        <v>5</v>
      </c>
      <c r="E8" s="220" t="s">
        <v>392</v>
      </c>
      <c r="F8" s="220" t="s">
        <v>393</v>
      </c>
      <c r="G8" s="178"/>
      <c r="H8" s="178"/>
      <c r="L8" s="178"/>
      <c r="M8" s="178"/>
      <c r="N8" s="178"/>
    </row>
    <row r="9" spans="1:14" ht="81" customHeight="1">
      <c r="A9" s="220">
        <v>6</v>
      </c>
      <c r="B9" s="221" t="str">
        <f>可研资料整理!C8</f>
        <v>特勤消防站项目</v>
      </c>
      <c r="C9" s="221" t="s">
        <v>395</v>
      </c>
      <c r="D9" s="220" t="s">
        <v>5</v>
      </c>
      <c r="E9" s="220" t="s">
        <v>392</v>
      </c>
      <c r="F9" s="220" t="s">
        <v>393</v>
      </c>
      <c r="H9" s="263"/>
      <c r="I9" s="253" t="s">
        <v>388</v>
      </c>
      <c r="J9" s="253" t="s">
        <v>389</v>
      </c>
      <c r="K9" s="288"/>
      <c r="L9" s="178"/>
      <c r="M9" s="178"/>
      <c r="N9" s="178"/>
    </row>
    <row r="10" spans="1:14" ht="51" customHeight="1">
      <c r="A10" s="220">
        <v>7</v>
      </c>
      <c r="B10" s="221" t="str">
        <f>可研资料整理!C9</f>
        <v>双创园区标准化厂房（一期）项目</v>
      </c>
      <c r="C10" s="221" t="s">
        <v>380</v>
      </c>
      <c r="D10" s="220" t="s">
        <v>4</v>
      </c>
      <c r="E10" s="220" t="s">
        <v>392</v>
      </c>
      <c r="F10" s="220" t="s">
        <v>394</v>
      </c>
      <c r="H10" s="263"/>
      <c r="I10" s="253">
        <v>45442</v>
      </c>
      <c r="J10" s="254">
        <v>4558</v>
      </c>
      <c r="K10" s="288">
        <f>I10+J10</f>
        <v>50000</v>
      </c>
      <c r="L10" s="178"/>
      <c r="M10" s="178"/>
      <c r="N10" s="178"/>
    </row>
    <row r="11" spans="1:14" ht="42.9" customHeight="1">
      <c r="A11" s="220">
        <v>8</v>
      </c>
      <c r="B11" s="221" t="str">
        <f>可研资料整理!C10</f>
        <v>双创园区标准化厂房（二期）项目</v>
      </c>
      <c r="C11" s="221" t="s">
        <v>379</v>
      </c>
      <c r="D11" s="220" t="s">
        <v>4</v>
      </c>
      <c r="E11" s="220" t="s">
        <v>392</v>
      </c>
      <c r="F11" s="220" t="s">
        <v>394</v>
      </c>
      <c r="H11" s="263"/>
      <c r="I11" s="254">
        <v>64921</v>
      </c>
      <c r="J11" s="253">
        <v>5079</v>
      </c>
      <c r="K11" s="288">
        <f t="shared" ref="K11:K13" si="0">I11+J11</f>
        <v>70000</v>
      </c>
      <c r="L11" s="178"/>
      <c r="M11" s="178"/>
      <c r="N11" s="178"/>
    </row>
    <row r="12" spans="1:14" ht="137.1" customHeight="1">
      <c r="A12" s="220">
        <v>9</v>
      </c>
      <c r="B12" s="221" t="str">
        <f>可研资料整理!C11</f>
        <v>危险品运输车辆停车场项目</v>
      </c>
      <c r="C12" s="221" t="s">
        <v>527</v>
      </c>
      <c r="D12" s="220" t="s">
        <v>4</v>
      </c>
      <c r="E12" s="220" t="s">
        <v>392</v>
      </c>
      <c r="F12" s="220" t="s">
        <v>394</v>
      </c>
      <c r="H12" s="263"/>
      <c r="I12" s="253">
        <v>94132</v>
      </c>
      <c r="J12" s="253">
        <v>5868</v>
      </c>
      <c r="K12" s="288">
        <f t="shared" si="0"/>
        <v>100000</v>
      </c>
      <c r="L12" s="178"/>
      <c r="M12" s="178"/>
      <c r="N12" s="178"/>
    </row>
    <row r="13" spans="1:14">
      <c r="E13" s="178"/>
      <c r="F13" s="178"/>
      <c r="G13" s="178"/>
      <c r="H13" s="263" t="s">
        <v>42</v>
      </c>
      <c r="I13" s="253">
        <f>SUM(I10:I12)</f>
        <v>204495</v>
      </c>
      <c r="J13" s="253">
        <f>SUM(J10:J12)</f>
        <v>15505</v>
      </c>
      <c r="K13" s="288">
        <f t="shared" si="0"/>
        <v>220000</v>
      </c>
      <c r="L13" s="178"/>
      <c r="M13" s="178"/>
      <c r="N13" s="178"/>
    </row>
    <row r="14" spans="1:14">
      <c r="E14" s="178"/>
      <c r="F14" s="178"/>
      <c r="G14" s="178"/>
      <c r="H14" s="178"/>
      <c r="I14" s="178"/>
      <c r="J14" s="178"/>
      <c r="K14" s="178"/>
      <c r="L14" s="178"/>
      <c r="M14" s="178"/>
      <c r="N14" s="178"/>
    </row>
    <row r="15" spans="1:14">
      <c r="C15" s="178"/>
      <c r="D15" s="178"/>
      <c r="E15" s="178"/>
      <c r="F15" s="178"/>
      <c r="G15" s="178"/>
      <c r="H15" s="178"/>
      <c r="I15" s="178"/>
      <c r="J15" s="178"/>
      <c r="K15" s="178"/>
      <c r="L15" s="178"/>
      <c r="M15" s="178"/>
      <c r="N15" s="178"/>
    </row>
    <row r="16" spans="1:14">
      <c r="C16" s="178"/>
      <c r="D16" s="178"/>
      <c r="E16" s="178"/>
      <c r="F16" s="178"/>
      <c r="G16" s="178"/>
      <c r="H16" s="178"/>
      <c r="I16" s="178"/>
      <c r="J16" s="178"/>
      <c r="K16" s="178"/>
      <c r="L16" s="178"/>
      <c r="M16" s="178"/>
      <c r="N16" s="178"/>
    </row>
    <row r="17" spans="3:14">
      <c r="C17" s="178"/>
      <c r="D17" s="178"/>
      <c r="E17" s="178"/>
      <c r="F17" s="178"/>
      <c r="G17" s="178"/>
      <c r="H17" s="178"/>
      <c r="I17" s="178"/>
      <c r="J17" s="178"/>
      <c r="K17" s="178"/>
      <c r="L17" s="178"/>
      <c r="M17" s="178"/>
      <c r="N17" s="178"/>
    </row>
    <row r="18" spans="3:14">
      <c r="C18" s="178"/>
      <c r="D18" s="178"/>
      <c r="E18" s="178"/>
      <c r="F18" s="178"/>
      <c r="G18" s="178"/>
      <c r="H18" s="178"/>
      <c r="I18" s="178"/>
      <c r="J18" s="178"/>
      <c r="K18" s="178"/>
      <c r="L18" s="178"/>
      <c r="M18" s="178"/>
      <c r="N18" s="178"/>
    </row>
    <row r="19" spans="3:14">
      <c r="C19" s="178"/>
      <c r="D19" s="178"/>
      <c r="E19" s="178"/>
      <c r="F19" s="178"/>
      <c r="G19" s="178"/>
      <c r="H19" s="178"/>
      <c r="I19" s="178"/>
      <c r="J19" s="178"/>
      <c r="K19" s="178"/>
      <c r="L19" s="178"/>
      <c r="M19" s="178"/>
      <c r="N19" s="178"/>
    </row>
    <row r="20" spans="3:14">
      <c r="E20" s="178"/>
      <c r="F20" s="178"/>
      <c r="G20" s="178"/>
      <c r="H20" s="178"/>
      <c r="I20" s="178"/>
      <c r="J20" s="178"/>
      <c r="K20" s="178"/>
      <c r="L20" s="178"/>
      <c r="M20" s="178"/>
      <c r="N20" s="178"/>
    </row>
    <row r="21" spans="3:14">
      <c r="E21" s="178"/>
      <c r="F21" s="178"/>
      <c r="G21" s="178"/>
      <c r="H21" s="178"/>
      <c r="I21" s="178"/>
      <c r="J21" s="178"/>
      <c r="K21" s="178"/>
      <c r="L21" s="178"/>
      <c r="M21" s="178"/>
      <c r="N21" s="178"/>
    </row>
    <row r="22" spans="3:14">
      <c r="E22" s="178"/>
      <c r="F22" s="178"/>
      <c r="G22" s="178"/>
      <c r="H22" s="178"/>
      <c r="I22" s="178"/>
      <c r="J22" s="178"/>
      <c r="K22" s="178"/>
      <c r="L22" s="178"/>
      <c r="M22" s="178"/>
      <c r="N22" s="178"/>
    </row>
    <row r="23" spans="3:14">
      <c r="E23" s="178"/>
      <c r="F23" s="178"/>
      <c r="G23" s="178"/>
      <c r="H23" s="178"/>
      <c r="I23" s="178"/>
      <c r="J23" s="178"/>
      <c r="K23" s="178"/>
      <c r="L23" s="178"/>
      <c r="M23" s="178"/>
      <c r="N23" s="178"/>
    </row>
    <row r="24" spans="3:14">
      <c r="E24" s="178"/>
      <c r="F24" s="178"/>
      <c r="G24" s="178"/>
      <c r="H24" s="178"/>
      <c r="I24" s="178"/>
      <c r="J24" s="178"/>
      <c r="K24" s="178"/>
      <c r="L24" s="178"/>
      <c r="M24" s="178"/>
      <c r="N24" s="178"/>
    </row>
    <row r="25" spans="3:14">
      <c r="E25" s="178"/>
      <c r="F25" s="178"/>
      <c r="G25" s="178"/>
      <c r="H25" s="178"/>
      <c r="I25" s="178"/>
      <c r="J25" s="178"/>
      <c r="K25" s="178"/>
      <c r="L25" s="178"/>
      <c r="M25" s="178"/>
      <c r="N25" s="178"/>
    </row>
    <row r="26" spans="3:14">
      <c r="E26" s="178"/>
      <c r="F26" s="178"/>
      <c r="G26" s="178"/>
      <c r="H26" s="178"/>
      <c r="I26" s="178"/>
      <c r="J26" s="178"/>
      <c r="K26" s="178"/>
      <c r="L26" s="178"/>
      <c r="M26" s="178"/>
      <c r="N26" s="178"/>
    </row>
    <row r="27" spans="3:14">
      <c r="E27" s="178"/>
      <c r="F27" s="178"/>
      <c r="G27" s="178"/>
      <c r="H27" s="178"/>
      <c r="I27" s="178"/>
      <c r="J27" s="178"/>
      <c r="K27" s="178"/>
      <c r="L27" s="178"/>
      <c r="M27" s="178"/>
      <c r="N27" s="178"/>
    </row>
    <row r="28" spans="3:14">
      <c r="E28" s="178"/>
      <c r="F28" s="178"/>
      <c r="G28" s="178"/>
      <c r="H28" s="178"/>
      <c r="I28" s="178"/>
      <c r="J28" s="178"/>
      <c r="K28" s="178"/>
      <c r="L28" s="178"/>
      <c r="M28" s="178"/>
      <c r="N28" s="178"/>
    </row>
    <row r="29" spans="3:14">
      <c r="E29" s="178"/>
      <c r="F29" s="178"/>
      <c r="G29" s="178"/>
      <c r="H29" s="178"/>
      <c r="I29" s="178"/>
      <c r="J29" s="178"/>
      <c r="K29" s="178"/>
      <c r="L29" s="178"/>
      <c r="M29" s="178"/>
      <c r="N29" s="178"/>
    </row>
    <row r="30" spans="3:14">
      <c r="E30" s="178"/>
      <c r="F30" s="178"/>
      <c r="G30" s="178"/>
      <c r="H30" s="178"/>
      <c r="I30" s="178"/>
      <c r="J30" s="178"/>
      <c r="K30" s="178"/>
      <c r="L30" s="178"/>
      <c r="M30" s="178"/>
      <c r="N30" s="178"/>
    </row>
    <row r="31" spans="3:14">
      <c r="E31" s="178"/>
      <c r="F31" s="178"/>
      <c r="G31" s="178"/>
      <c r="H31" s="178"/>
      <c r="I31" s="178"/>
      <c r="J31" s="178"/>
      <c r="K31" s="178"/>
      <c r="L31" s="178"/>
      <c r="M31" s="178"/>
      <c r="N31" s="178"/>
    </row>
    <row r="32" spans="3:14">
      <c r="E32" s="178"/>
      <c r="F32" s="178"/>
      <c r="G32" s="178"/>
      <c r="H32" s="178"/>
      <c r="I32" s="178"/>
      <c r="J32" s="178"/>
      <c r="K32" s="178"/>
      <c r="L32" s="178"/>
      <c r="M32" s="178"/>
      <c r="N32" s="178"/>
    </row>
    <row r="33" spans="5:14">
      <c r="E33" s="178"/>
      <c r="F33" s="178"/>
      <c r="G33" s="178"/>
      <c r="H33" s="178"/>
      <c r="I33" s="178"/>
      <c r="J33" s="178"/>
      <c r="K33" s="178"/>
      <c r="L33" s="178"/>
      <c r="M33" s="178"/>
      <c r="N33" s="178"/>
    </row>
    <row r="34" spans="5:14">
      <c r="E34" s="178"/>
      <c r="F34" s="178"/>
      <c r="G34" s="178"/>
      <c r="H34" s="178"/>
      <c r="I34" s="178"/>
      <c r="J34" s="178"/>
      <c r="K34" s="178"/>
      <c r="L34" s="178"/>
      <c r="M34" s="178"/>
      <c r="N34" s="178"/>
    </row>
    <row r="35" spans="5:14">
      <c r="E35" s="178"/>
      <c r="F35" s="178"/>
      <c r="G35" s="178"/>
      <c r="H35" s="178"/>
      <c r="I35" s="178"/>
      <c r="J35" s="178"/>
      <c r="K35" s="178"/>
      <c r="L35" s="178"/>
      <c r="M35" s="178"/>
      <c r="N35" s="178"/>
    </row>
    <row r="36" spans="5:14">
      <c r="E36" s="178"/>
      <c r="F36" s="178"/>
      <c r="G36" s="178"/>
      <c r="H36" s="178"/>
      <c r="I36" s="178"/>
      <c r="J36" s="178"/>
      <c r="K36" s="178"/>
      <c r="L36" s="178"/>
      <c r="M36" s="178"/>
      <c r="N36" s="178"/>
    </row>
    <row r="37" spans="5:14">
      <c r="E37" s="178"/>
      <c r="F37" s="178"/>
      <c r="G37" s="178"/>
      <c r="H37" s="178"/>
      <c r="I37" s="178"/>
      <c r="J37" s="178"/>
      <c r="K37" s="178"/>
      <c r="L37" s="178"/>
      <c r="M37" s="178"/>
      <c r="N37" s="178"/>
    </row>
    <row r="38" spans="5:14">
      <c r="E38" s="178"/>
      <c r="F38" s="178"/>
      <c r="G38" s="178"/>
      <c r="H38" s="178"/>
      <c r="I38" s="178"/>
      <c r="J38" s="178"/>
      <c r="K38" s="178"/>
      <c r="L38" s="178"/>
      <c r="M38" s="178"/>
      <c r="N38" s="178"/>
    </row>
    <row r="39" spans="5:14">
      <c r="E39" s="178"/>
      <c r="F39" s="178"/>
      <c r="G39" s="178"/>
      <c r="H39" s="178"/>
      <c r="I39" s="178"/>
      <c r="J39" s="178"/>
      <c r="K39" s="178"/>
      <c r="L39" s="178"/>
      <c r="M39" s="178"/>
      <c r="N39" s="178"/>
    </row>
    <row r="40" spans="5:14">
      <c r="E40" s="178"/>
      <c r="F40" s="178"/>
      <c r="G40" s="178"/>
      <c r="H40" s="178"/>
      <c r="I40" s="178"/>
      <c r="J40" s="178"/>
      <c r="K40" s="178"/>
      <c r="L40" s="178"/>
      <c r="M40" s="178"/>
      <c r="N40" s="178"/>
    </row>
    <row r="41" spans="5:14">
      <c r="E41" s="178"/>
      <c r="F41" s="178"/>
      <c r="G41" s="178"/>
      <c r="H41" s="178"/>
      <c r="I41" s="178"/>
      <c r="J41" s="178"/>
      <c r="K41" s="178"/>
      <c r="L41" s="178"/>
      <c r="M41" s="178"/>
      <c r="N41" s="178"/>
    </row>
    <row r="42" spans="5:14">
      <c r="E42" s="178"/>
      <c r="F42" s="178"/>
      <c r="G42" s="178"/>
      <c r="H42" s="178"/>
      <c r="I42" s="178"/>
      <c r="J42" s="178"/>
      <c r="K42" s="178"/>
      <c r="L42" s="178"/>
      <c r="M42" s="178"/>
      <c r="N42" s="178"/>
    </row>
    <row r="43" spans="5:14">
      <c r="E43" s="178"/>
      <c r="F43" s="178"/>
      <c r="G43" s="178"/>
      <c r="H43" s="178"/>
      <c r="I43" s="178"/>
      <c r="J43" s="178"/>
      <c r="K43" s="178"/>
      <c r="L43" s="178"/>
      <c r="M43" s="178"/>
      <c r="N43" s="178"/>
    </row>
    <row r="44" spans="5:14">
      <c r="E44" s="178"/>
      <c r="F44" s="178"/>
      <c r="G44" s="178"/>
      <c r="H44" s="178"/>
      <c r="I44" s="178"/>
      <c r="J44" s="178"/>
      <c r="K44" s="178"/>
      <c r="L44" s="178"/>
      <c r="M44" s="178"/>
      <c r="N44" s="178"/>
    </row>
  </sheetData>
  <mergeCells count="2">
    <mergeCell ref="A1:D1"/>
    <mergeCell ref="A2:D2"/>
  </mergeCells>
  <phoneticPr fontId="3" type="noConversion"/>
  <pageMargins left="0.25" right="0.25" top="0.75" bottom="0.75" header="0.29861111111111099" footer="0.29861111111111099"/>
  <pageSetup paperSize="9" scale="86"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topLeftCell="A4" workbookViewId="0">
      <selection activeCell="D3" sqref="D3"/>
    </sheetView>
  </sheetViews>
  <sheetFormatPr defaultColWidth="11" defaultRowHeight="15.6"/>
  <cols>
    <col min="2" max="2" width="6" bestFit="1" customWidth="1"/>
    <col min="3" max="3" width="33.08984375" bestFit="1" customWidth="1"/>
    <col min="4" max="4" width="42" bestFit="1" customWidth="1"/>
    <col min="5" max="5" width="12.90625" customWidth="1"/>
    <col min="6" max="6" width="12" customWidth="1"/>
    <col min="7" max="7" width="12.36328125" customWidth="1"/>
  </cols>
  <sheetData>
    <row r="2" spans="2:9">
      <c r="B2" s="218" t="s">
        <v>7</v>
      </c>
      <c r="C2" s="218" t="s">
        <v>39</v>
      </c>
      <c r="D2" s="218" t="s">
        <v>105</v>
      </c>
      <c r="E2" s="211" t="str">
        <f>可研资料整理!I2</f>
        <v>工程总投资</v>
      </c>
      <c r="F2" s="211" t="str">
        <f>可研资料整理!J2</f>
        <v>建设期利息</v>
      </c>
      <c r="G2" s="211" t="str">
        <f>可研资料整理!K2</f>
        <v>估算总投资</v>
      </c>
    </row>
    <row r="3" spans="2:9" ht="31.2">
      <c r="B3" s="211">
        <f>项目清单!A4</f>
        <v>1</v>
      </c>
      <c r="C3" s="211" t="str">
        <f>可研资料整理!C3</f>
        <v>化工产业板块雨水泵站及管网工程</v>
      </c>
      <c r="D3" s="211" t="str">
        <f>项目清单!C4</f>
        <v>雨水泵站1座、DN2600压力雨水管线1035米，同时建相应的配套设施等</v>
      </c>
      <c r="E3" s="219">
        <f>可研资料整理!I3</f>
        <v>10526.189999999999</v>
      </c>
      <c r="F3" s="219">
        <f ca="1">可研资料整理!J3</f>
        <v>738.63355382293753</v>
      </c>
      <c r="G3" s="219">
        <f ca="1">可研资料整理!K3</f>
        <v>11264.823553822936</v>
      </c>
    </row>
    <row r="4" spans="2:9" ht="48" customHeight="1">
      <c r="B4" s="211">
        <f>项目清单!A5</f>
        <v>2</v>
      </c>
      <c r="C4" s="211" t="str">
        <f>可研资料整理!C4</f>
        <v>新规划支路道路及管网建设工程</v>
      </c>
      <c r="D4" s="211" t="str">
        <f>项目清单!C5</f>
        <v>新规划支路道路红线宽30米，道路全长约2000米，污水、雨水、生活给水、工业给水各长度约2000米。</v>
      </c>
      <c r="E4" s="219">
        <f>可研资料整理!I4</f>
        <v>3855</v>
      </c>
      <c r="F4" s="219">
        <f ca="1">可研资料整理!J4</f>
        <v>270.50930583501008</v>
      </c>
      <c r="G4" s="219">
        <f ca="1">可研资料整理!K4</f>
        <v>4125.5093058350103</v>
      </c>
    </row>
    <row r="5" spans="2:9" ht="48" customHeight="1">
      <c r="B5" s="211">
        <f>项目清单!A6</f>
        <v>3</v>
      </c>
      <c r="C5" s="211" t="str">
        <f>可研资料整理!C5</f>
        <v>新规划支二路道路及管网建设工程</v>
      </c>
      <c r="D5" s="211" t="str">
        <f>项目清单!C6</f>
        <v>新规划支二路道路红线宽30米，道路全长约1300米，污水、雨水、生活给水、工业给水各长度约1300米。</v>
      </c>
      <c r="E5" s="219">
        <f>可研资料整理!I5</f>
        <v>1994.01</v>
      </c>
      <c r="F5" s="219">
        <f ca="1">可研资料整理!J5</f>
        <v>139.92172786720323</v>
      </c>
      <c r="G5" s="219">
        <f ca="1">可研资料整理!K5</f>
        <v>2133.9317278672033</v>
      </c>
    </row>
    <row r="6" spans="2:9" ht="59.1" customHeight="1">
      <c r="B6" s="211">
        <f>项目清单!A7</f>
        <v>4</v>
      </c>
      <c r="C6" s="211" t="str">
        <f>可研资料整理!C6</f>
        <v>经九路（纬四路-纬九路）道路管网工程</v>
      </c>
      <c r="D6" s="211" t="str">
        <f>项目清单!C7</f>
        <v>经九路道路红线40米宽，道路、污水、雨水、生活给水、工业给水、各长度约为1400米。</v>
      </c>
      <c r="E6" s="219">
        <f>可研资料整理!I6</f>
        <v>3597.2800000000007</v>
      </c>
      <c r="F6" s="219">
        <f ca="1">可研资料整理!J6</f>
        <v>252.42482897384306</v>
      </c>
      <c r="G6" s="219">
        <f ca="1">可研资料整理!K6</f>
        <v>3849.7048289738436</v>
      </c>
    </row>
    <row r="7" spans="2:9" ht="75.900000000000006" customHeight="1">
      <c r="B7" s="211">
        <f>项目清单!A8</f>
        <v>5</v>
      </c>
      <c r="C7" s="211" t="str">
        <f>可研资料整理!C7</f>
        <v>纬九路（经七路-经九路）道路管网建设工程</v>
      </c>
      <c r="D7" s="211" t="str">
        <f>项目清单!C8</f>
        <v>道路工程全长2101.9米，新建沥青混凝土道路面积33407平方米，污水管线、雨水管线、给水管线各2102米，绿化硬化工程、道路照明工程</v>
      </c>
      <c r="E7" s="219">
        <f>可研资料整理!I7</f>
        <v>8313.58</v>
      </c>
      <c r="F7" s="219">
        <f ca="1">可研资料整理!J7</f>
        <v>583.37243963782691</v>
      </c>
      <c r="G7" s="219">
        <f ca="1">可研资料整理!K7</f>
        <v>8896.9524396378274</v>
      </c>
    </row>
    <row r="8" spans="2:9" ht="75.900000000000006" customHeight="1">
      <c r="B8" s="211">
        <f>项目清单!A9</f>
        <v>6</v>
      </c>
      <c r="C8" s="211" t="str">
        <f>可研资料整理!C8</f>
        <v>特勤消防站项目</v>
      </c>
      <c r="D8" s="211" t="str">
        <f>项目清单!C9</f>
        <v>新建一座特勤消防站，占地面积约15 亩，总建筑面积为4214 ㎡，其中业务用房面积1950 ㎡，业务附属用房面积998 ㎡，辅助用房面积706㎡，配套公辅用房面积506 ㎡</v>
      </c>
      <c r="E8" s="219">
        <f>可研资料整理!I8</f>
        <v>2874.92</v>
      </c>
      <c r="F8" s="219">
        <f ca="1">可研资料整理!J8</f>
        <v>201.73608651911468</v>
      </c>
      <c r="G8" s="219">
        <f ca="1">可研资料整理!K8</f>
        <v>3076.656086519115</v>
      </c>
    </row>
    <row r="9" spans="2:9" ht="69.900000000000006" customHeight="1">
      <c r="B9" s="211">
        <f>项目清单!A10</f>
        <v>7</v>
      </c>
      <c r="C9" s="211" t="str">
        <f>可研资料整理!C9</f>
        <v>双创园区标准化厂房（一期）项目</v>
      </c>
      <c r="D9" s="211" t="str">
        <f>项目清单!C10</f>
        <v>本项目占地 总面积 66667㎡ ，总建筑面积 50000㎡ 其中 标准化 厂房面积 45442 ㎡ 办公楼面积 4558 ㎡ 。</v>
      </c>
      <c r="E9" s="219">
        <f>可研资料整理!I9</f>
        <v>11814.34</v>
      </c>
      <c r="F9" s="219">
        <f ca="1">可研资料整理!J9</f>
        <v>829.02436116700198</v>
      </c>
      <c r="G9" s="219">
        <f ca="1">可研资料整理!K9</f>
        <v>12643.364361167001</v>
      </c>
      <c r="I9">
        <f>45442+64921</f>
        <v>110363</v>
      </c>
    </row>
    <row r="10" spans="2:9" ht="63.9" customHeight="1">
      <c r="B10" s="211">
        <f>项目清单!A11</f>
        <v>8</v>
      </c>
      <c r="C10" s="211" t="str">
        <f>可研资料整理!C10</f>
        <v>双创园区标准化厂房（二期）项目</v>
      </c>
      <c r="D10" s="211" t="str">
        <f>项目清单!C11</f>
        <v>本项目占地 总面积 91333㎡ ，总建筑面积 70000㎡ 其中 标准化 厂房面积 64921 ㎡ 办公楼面积 5079 ㎡</v>
      </c>
      <c r="E10" s="219">
        <f>可研资料整理!I10</f>
        <v>16453.62</v>
      </c>
      <c r="F10" s="219">
        <f ca="1">可研资料整理!J10</f>
        <v>1154.5673993963783</v>
      </c>
      <c r="G10" s="219">
        <f ca="1">可研资料整理!K10</f>
        <v>17608.187399396378</v>
      </c>
      <c r="I10">
        <f>4558+5079</f>
        <v>9637</v>
      </c>
    </row>
    <row r="11" spans="2:9" ht="132.9" customHeight="1">
      <c r="B11" s="211">
        <f>项目清单!A12</f>
        <v>9</v>
      </c>
      <c r="C11" s="211" t="str">
        <f>可研资料整理!C11</f>
        <v>危险品运输车辆停车场项目</v>
      </c>
      <c r="D11" s="211" t="str">
        <f>项目清单!C12</f>
        <v>本项目总占地面积60000平方米，建设内容包含新建管理办公室1座，车场服务中心（包括汽修区，司机之家）加油站、智能一体化停车场（包括重载车停车区停车位34个，空载车停车区停车位104个）、危化品罐箱蒸洗车间、智慧化管控系统、消防控制中心（包括消防控制室、配电室）、泵房、消防水池、事故水池、污水池等</v>
      </c>
      <c r="E11" s="219">
        <f>可研资料整理!I11</f>
        <v>4459.95</v>
      </c>
      <c r="F11" s="219">
        <f ca="1">可研资料整理!J11</f>
        <v>312.95926810865188</v>
      </c>
      <c r="G11" s="219">
        <f ca="1">可研资料整理!K11</f>
        <v>4772.9092681086513</v>
      </c>
    </row>
    <row r="12" spans="2:9" ht="39.9" customHeight="1">
      <c r="B12" s="218" t="s">
        <v>42</v>
      </c>
      <c r="C12" s="218"/>
      <c r="D12" s="218"/>
      <c r="E12" s="219">
        <f>可研资料整理!I12</f>
        <v>63888.889999999985</v>
      </c>
      <c r="F12" s="219">
        <f ca="1">可研资料整理!J12</f>
        <v>4483.148971327967</v>
      </c>
      <c r="G12" s="219">
        <f ca="1">可研资料整理!K12</f>
        <v>68372.038971327973</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workbookViewId="0">
      <selection activeCell="B3" sqref="B3:H13"/>
    </sheetView>
  </sheetViews>
  <sheetFormatPr defaultColWidth="11" defaultRowHeight="15.6"/>
  <cols>
    <col min="2" max="2" width="6" bestFit="1" customWidth="1"/>
    <col min="3" max="3" width="23.36328125" style="416" customWidth="1"/>
    <col min="4" max="4" width="13.08984375" bestFit="1" customWidth="1"/>
    <col min="5" max="5" width="13" customWidth="1"/>
    <col min="6" max="6" width="21.08984375" customWidth="1"/>
    <col min="8" max="8" width="17" style="21" customWidth="1"/>
  </cols>
  <sheetData>
    <row r="2" spans="2:8" ht="39.9" customHeight="1">
      <c r="B2" s="486" t="s">
        <v>555</v>
      </c>
      <c r="C2" s="486"/>
      <c r="D2" s="486"/>
      <c r="E2" s="486"/>
      <c r="F2" s="270"/>
      <c r="G2" s="486"/>
      <c r="H2" s="486"/>
    </row>
    <row r="3" spans="2:8" ht="39.9" customHeight="1">
      <c r="B3" s="413" t="s">
        <v>7</v>
      </c>
      <c r="C3" s="414" t="s">
        <v>559</v>
      </c>
      <c r="D3" s="415" t="s">
        <v>543</v>
      </c>
      <c r="E3" s="413" t="s">
        <v>378</v>
      </c>
      <c r="F3" s="414" t="s">
        <v>558</v>
      </c>
      <c r="G3" s="211" t="s">
        <v>543</v>
      </c>
      <c r="H3" s="417" t="s">
        <v>378</v>
      </c>
    </row>
    <row r="4" spans="2:8" ht="39.9" customHeight="1">
      <c r="B4" s="415">
        <v>1</v>
      </c>
      <c r="C4" s="2" t="s">
        <v>544</v>
      </c>
      <c r="D4" s="7">
        <v>3189.1096579476862</v>
      </c>
      <c r="E4" s="413" t="s">
        <v>508</v>
      </c>
      <c r="F4" s="211" t="s">
        <v>553</v>
      </c>
      <c r="G4" s="219">
        <v>8896.9524396378274</v>
      </c>
      <c r="H4" s="413" t="s">
        <v>560</v>
      </c>
    </row>
    <row r="5" spans="2:8" ht="39.9" customHeight="1">
      <c r="B5" s="415">
        <v>2</v>
      </c>
      <c r="C5" s="2" t="s">
        <v>545</v>
      </c>
      <c r="D5" s="7">
        <v>2140.3420523138834</v>
      </c>
      <c r="E5" s="413" t="s">
        <v>509</v>
      </c>
      <c r="F5" s="211" t="s">
        <v>545</v>
      </c>
      <c r="G5" s="219">
        <v>11264.823553822936</v>
      </c>
      <c r="H5" s="413" t="s">
        <v>509</v>
      </c>
    </row>
    <row r="6" spans="2:8" ht="39.9" customHeight="1">
      <c r="B6" s="415">
        <v>3</v>
      </c>
      <c r="C6" s="2" t="s">
        <v>546</v>
      </c>
      <c r="D6" s="7">
        <v>4125.5093058350103</v>
      </c>
      <c r="E6" s="485" t="s">
        <v>556</v>
      </c>
      <c r="F6" s="211" t="s">
        <v>546</v>
      </c>
      <c r="G6" s="219">
        <v>4125.5093058350103</v>
      </c>
      <c r="H6" s="487" t="s">
        <v>556</v>
      </c>
    </row>
    <row r="7" spans="2:8" ht="39.9" customHeight="1">
      <c r="B7" s="415">
        <v>4</v>
      </c>
      <c r="C7" s="2" t="s">
        <v>547</v>
      </c>
      <c r="D7" s="7">
        <v>2133.9317278672033</v>
      </c>
      <c r="E7" s="485"/>
      <c r="F7" s="211" t="s">
        <v>547</v>
      </c>
      <c r="G7" s="219">
        <v>2133.9317278672033</v>
      </c>
      <c r="H7" s="488"/>
    </row>
    <row r="8" spans="2:8" ht="39.9" customHeight="1">
      <c r="B8" s="415">
        <v>5</v>
      </c>
      <c r="C8" s="2" t="s">
        <v>548</v>
      </c>
      <c r="D8" s="7">
        <v>3849.7048289738436</v>
      </c>
      <c r="E8" s="485"/>
      <c r="F8" s="211" t="s">
        <v>548</v>
      </c>
      <c r="G8" s="219">
        <v>3849.7048289738436</v>
      </c>
      <c r="H8" s="488"/>
    </row>
    <row r="9" spans="2:8" ht="39.9" customHeight="1">
      <c r="B9" s="415">
        <v>6</v>
      </c>
      <c r="C9" s="2" t="s">
        <v>549</v>
      </c>
      <c r="D9" s="7">
        <v>3076.656086519115</v>
      </c>
      <c r="E9" s="485"/>
      <c r="F9" s="211" t="s">
        <v>549</v>
      </c>
      <c r="G9" s="219">
        <v>3076.656086519115</v>
      </c>
      <c r="H9" s="488"/>
    </row>
    <row r="10" spans="2:8" ht="39.9" customHeight="1">
      <c r="B10" s="415">
        <v>7</v>
      </c>
      <c r="C10" s="2" t="s">
        <v>550</v>
      </c>
      <c r="D10" s="7">
        <v>12643.364361167001</v>
      </c>
      <c r="E10" s="485"/>
      <c r="F10" s="211" t="s">
        <v>550</v>
      </c>
      <c r="G10" s="219">
        <v>12643.364361167001</v>
      </c>
      <c r="H10" s="488"/>
    </row>
    <row r="11" spans="2:8" ht="39.9" customHeight="1">
      <c r="B11" s="415">
        <v>8</v>
      </c>
      <c r="C11" s="2" t="s">
        <v>551</v>
      </c>
      <c r="D11" s="7">
        <v>17608.187399396378</v>
      </c>
      <c r="E11" s="485"/>
      <c r="F11" s="211" t="s">
        <v>551</v>
      </c>
      <c r="G11" s="219">
        <v>17608.187399396378</v>
      </c>
      <c r="H11" s="489"/>
    </row>
    <row r="12" spans="2:8" ht="39.9" customHeight="1">
      <c r="B12" s="415">
        <v>9</v>
      </c>
      <c r="C12" s="2" t="s">
        <v>552</v>
      </c>
      <c r="D12" s="7">
        <v>25207.867819416504</v>
      </c>
      <c r="E12" s="413" t="s">
        <v>508</v>
      </c>
      <c r="F12" s="211" t="s">
        <v>554</v>
      </c>
      <c r="G12" s="219">
        <v>4772.9092681086513</v>
      </c>
      <c r="H12" s="413" t="s">
        <v>560</v>
      </c>
    </row>
    <row r="13" spans="2:8" ht="39.9" customHeight="1">
      <c r="B13" s="483" t="s">
        <v>562</v>
      </c>
      <c r="C13" s="484"/>
      <c r="D13" s="7">
        <v>73974.673239436626</v>
      </c>
      <c r="E13" s="483" t="s">
        <v>561</v>
      </c>
      <c r="F13" s="484"/>
      <c r="G13" s="219">
        <v>68372.038971327973</v>
      </c>
      <c r="H13" s="414" t="s">
        <v>557</v>
      </c>
    </row>
    <row r="14" spans="2:8" ht="39.9" customHeight="1">
      <c r="F14" s="229"/>
      <c r="H14" s="369"/>
    </row>
    <row r="15" spans="2:8" ht="39.9" customHeight="1"/>
    <row r="16" spans="2:8" ht="39.9" customHeight="1"/>
    <row r="17" ht="39.9" customHeight="1"/>
    <row r="18" ht="39.9" customHeight="1"/>
    <row r="19" ht="39.9" customHeight="1"/>
    <row r="20" ht="39.9" customHeight="1"/>
    <row r="21" ht="39.9" customHeight="1"/>
    <row r="22" ht="39.9" customHeight="1"/>
    <row r="23" ht="39.9" customHeight="1"/>
    <row r="24" ht="39.9" customHeight="1"/>
    <row r="25" ht="39.9" customHeight="1"/>
    <row r="26" ht="39.9" customHeight="1"/>
    <row r="27" ht="39.9" customHeight="1"/>
    <row r="28" ht="39.9" customHeight="1"/>
    <row r="29" ht="39.9" customHeight="1"/>
    <row r="30" ht="39.9" customHeight="1"/>
    <row r="31" ht="39.9" customHeight="1"/>
    <row r="32" ht="39.9" customHeight="1"/>
    <row r="33" ht="39.9" customHeight="1"/>
    <row r="34" ht="39.9" customHeight="1"/>
    <row r="35" ht="39.9" customHeight="1"/>
    <row r="36" ht="39.9" customHeight="1"/>
    <row r="37" ht="39.9" customHeight="1"/>
  </sheetData>
  <mergeCells count="6">
    <mergeCell ref="B13:C13"/>
    <mergeCell ref="E13:F13"/>
    <mergeCell ref="E6:E11"/>
    <mergeCell ref="B2:E2"/>
    <mergeCell ref="G2:H2"/>
    <mergeCell ref="H6:H11"/>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5"/>
  <sheetViews>
    <sheetView topLeftCell="A13" zoomScaleNormal="100" workbookViewId="0">
      <selection activeCell="G16" sqref="G16"/>
    </sheetView>
  </sheetViews>
  <sheetFormatPr defaultColWidth="10.90625" defaultRowHeight="20.399999999999999"/>
  <cols>
    <col min="1" max="1" width="10.90625" style="178"/>
    <col min="2" max="2" width="6.6328125" style="183" bestFit="1" customWidth="1"/>
    <col min="3" max="3" width="58.6328125" style="183" bestFit="1" customWidth="1"/>
    <col min="4" max="4" width="13.90625" style="178" customWidth="1"/>
    <col min="5" max="5" width="15.36328125" style="178" customWidth="1"/>
    <col min="6" max="6" width="17.08984375" style="178" customWidth="1"/>
    <col min="7" max="7" width="12.08984375" style="178" customWidth="1"/>
    <col min="8" max="8" width="12.90625" style="178" customWidth="1"/>
    <col min="9" max="9" width="13.6328125" style="178" customWidth="1"/>
    <col min="10" max="10" width="14" style="178" customWidth="1"/>
    <col min="11" max="11" width="18.453125" style="178" customWidth="1"/>
    <col min="12" max="12" width="11.36328125" style="178" bestFit="1" customWidth="1"/>
    <col min="13" max="15" width="10.90625" style="178"/>
    <col min="16" max="16" width="12.6328125" style="178" customWidth="1"/>
    <col min="17" max="16384" width="10.90625" style="178"/>
  </cols>
  <sheetData>
    <row r="2" spans="2:17" s="186" customFormat="1" ht="47.1" customHeight="1">
      <c r="B2" s="199" t="s">
        <v>0</v>
      </c>
      <c r="C2" s="199" t="s">
        <v>1</v>
      </c>
      <c r="D2" s="199" t="s">
        <v>370</v>
      </c>
      <c r="E2" s="199" t="s">
        <v>369</v>
      </c>
      <c r="F2" s="199" t="s">
        <v>17</v>
      </c>
      <c r="G2" s="316" t="s">
        <v>364</v>
      </c>
      <c r="H2" s="199" t="s">
        <v>20</v>
      </c>
      <c r="I2" s="199" t="s">
        <v>363</v>
      </c>
      <c r="J2" s="199" t="s">
        <v>22</v>
      </c>
      <c r="K2" s="199" t="s">
        <v>376</v>
      </c>
      <c r="M2" s="491" t="s">
        <v>413</v>
      </c>
      <c r="N2" s="491"/>
    </row>
    <row r="3" spans="2:17" ht="30.9" customHeight="1">
      <c r="B3" s="198">
        <v>1</v>
      </c>
      <c r="C3" s="200" t="str">
        <f>C27</f>
        <v>化工产业板块雨水泵站及管网工程</v>
      </c>
      <c r="D3" s="197">
        <f>D27</f>
        <v>7725.19</v>
      </c>
      <c r="E3" s="197">
        <f t="shared" ref="E3:I3" si="0">E27</f>
        <v>1510.01</v>
      </c>
      <c r="F3" s="197">
        <f t="shared" si="0"/>
        <v>511.27</v>
      </c>
      <c r="G3" s="197">
        <f t="shared" si="0"/>
        <v>0</v>
      </c>
      <c r="H3" s="197">
        <f t="shared" si="0"/>
        <v>779.72</v>
      </c>
      <c r="I3" s="197">
        <f t="shared" si="0"/>
        <v>10526.189999999999</v>
      </c>
      <c r="J3" s="197">
        <f ca="1">'2-1投资计划表--分子项'!H14</f>
        <v>738.63355382293753</v>
      </c>
      <c r="K3" s="197">
        <f t="shared" ref="K3:K11" ca="1" si="1">I3+J3</f>
        <v>11264.823553822936</v>
      </c>
      <c r="L3" s="195"/>
      <c r="M3" s="262">
        <f ca="1">'2-1投资计划表--分子项'!H8</f>
        <v>11264.823553822936</v>
      </c>
      <c r="N3" s="261" t="str">
        <f ca="1">IF(ABS(K3-M3)&lt;0.1,"通过","有误")</f>
        <v>通过</v>
      </c>
    </row>
    <row r="4" spans="2:17" ht="30.9" customHeight="1">
      <c r="B4" s="198">
        <v>2</v>
      </c>
      <c r="C4" s="200" t="str">
        <f t="shared" ref="C4:C11" si="2">C28</f>
        <v>新规划支路道路及管网建设工程</v>
      </c>
      <c r="D4" s="197">
        <f t="shared" ref="D4:I11" si="3">D28</f>
        <v>2263.6799999999998</v>
      </c>
      <c r="E4" s="197">
        <f t="shared" si="3"/>
        <v>436.16</v>
      </c>
      <c r="F4" s="197">
        <f t="shared" si="3"/>
        <v>1076.06</v>
      </c>
      <c r="G4" s="197">
        <f t="shared" si="3"/>
        <v>900</v>
      </c>
      <c r="H4" s="197">
        <f t="shared" si="3"/>
        <v>79.099999999999994</v>
      </c>
      <c r="I4" s="197">
        <f t="shared" si="3"/>
        <v>3855</v>
      </c>
      <c r="J4" s="197">
        <f ca="1">'2-1投资计划表--分子项'!H25</f>
        <v>270.50930583501008</v>
      </c>
      <c r="K4" s="197">
        <f t="shared" ca="1" si="1"/>
        <v>4125.5093058350103</v>
      </c>
      <c r="L4" s="195"/>
      <c r="M4" s="262">
        <f ca="1">'2-1投资计划表--分子项'!H19</f>
        <v>4125.5093058350103</v>
      </c>
      <c r="N4" s="261" t="str">
        <f t="shared" ref="N4:N12" ca="1" si="4">IF(ABS(K4-M4)&lt;0.1,"通过","有误")</f>
        <v>通过</v>
      </c>
    </row>
    <row r="5" spans="2:17" ht="30.9" customHeight="1">
      <c r="B5" s="198">
        <v>3</v>
      </c>
      <c r="C5" s="200" t="str">
        <f t="shared" si="2"/>
        <v>新规划支二路道路及管网建设工程</v>
      </c>
      <c r="D5" s="197">
        <f t="shared" si="3"/>
        <v>1471.6</v>
      </c>
      <c r="E5" s="197">
        <f t="shared" si="3"/>
        <v>283.41000000000003</v>
      </c>
      <c r="F5" s="197">
        <f t="shared" si="3"/>
        <v>143.75</v>
      </c>
      <c r="G5" s="197">
        <f t="shared" si="3"/>
        <v>0</v>
      </c>
      <c r="H5" s="197">
        <f t="shared" si="3"/>
        <v>95.25</v>
      </c>
      <c r="I5" s="197">
        <f t="shared" si="3"/>
        <v>1994.01</v>
      </c>
      <c r="J5" s="197">
        <f ca="1">'2-1投资计划表--分子项'!H36</f>
        <v>139.92172786720323</v>
      </c>
      <c r="K5" s="197">
        <f t="shared" ca="1" si="1"/>
        <v>2133.9317278672033</v>
      </c>
      <c r="L5" s="195"/>
      <c r="M5" s="262">
        <f ca="1">'2-1投资计划表--分子项'!H30</f>
        <v>2133.9317278672033</v>
      </c>
      <c r="N5" s="261" t="str">
        <f t="shared" ca="1" si="4"/>
        <v>通过</v>
      </c>
      <c r="O5" s="202"/>
      <c r="P5" s="202"/>
    </row>
    <row r="6" spans="2:17" ht="30.9" customHeight="1">
      <c r="B6" s="198">
        <v>4</v>
      </c>
      <c r="C6" s="200" t="str">
        <f t="shared" si="2"/>
        <v>经九路（纬四路-纬九路）道路管网工程</v>
      </c>
      <c r="D6" s="197">
        <f t="shared" si="3"/>
        <v>2353.11</v>
      </c>
      <c r="E6" s="197">
        <f t="shared" si="3"/>
        <v>167.15</v>
      </c>
      <c r="F6" s="197">
        <f t="shared" si="3"/>
        <v>959.36</v>
      </c>
      <c r="G6" s="197">
        <f t="shared" si="3"/>
        <v>840</v>
      </c>
      <c r="H6" s="197">
        <f t="shared" si="3"/>
        <v>117.66</v>
      </c>
      <c r="I6" s="197">
        <f t="shared" si="3"/>
        <v>3597.2800000000007</v>
      </c>
      <c r="J6" s="197">
        <f ca="1">'2-1投资计划表--分子项'!H47</f>
        <v>252.42482897384306</v>
      </c>
      <c r="K6" s="197">
        <f t="shared" ca="1" si="1"/>
        <v>3849.7048289738436</v>
      </c>
      <c r="L6" s="195"/>
      <c r="M6" s="262">
        <f ca="1">'2-1投资计划表--分子项'!H41</f>
        <v>3849.7048289738432</v>
      </c>
      <c r="N6" s="261" t="str">
        <f t="shared" ca="1" si="4"/>
        <v>通过</v>
      </c>
      <c r="O6" s="202"/>
      <c r="P6" s="202"/>
    </row>
    <row r="7" spans="2:17" ht="30.9" customHeight="1">
      <c r="B7" s="198">
        <v>5</v>
      </c>
      <c r="C7" s="200" t="str">
        <f t="shared" si="2"/>
        <v>纬九路（经七路-经九路）道路管网建设工程</v>
      </c>
      <c r="D7" s="197">
        <f t="shared" si="3"/>
        <v>6355.87</v>
      </c>
      <c r="E7" s="197">
        <f t="shared" si="3"/>
        <v>0</v>
      </c>
      <c r="F7" s="197">
        <f t="shared" si="3"/>
        <v>1341.89</v>
      </c>
      <c r="G7" s="197">
        <v>810</v>
      </c>
      <c r="H7" s="197">
        <f t="shared" si="3"/>
        <v>615.82000000000005</v>
      </c>
      <c r="I7" s="197">
        <f t="shared" si="3"/>
        <v>8313.58</v>
      </c>
      <c r="J7" s="197">
        <f ca="1">'2-1投资计划表--分子项'!H58</f>
        <v>583.37243963782691</v>
      </c>
      <c r="K7" s="197">
        <f t="shared" ca="1" si="1"/>
        <v>8896.9524396378274</v>
      </c>
      <c r="L7" s="195"/>
      <c r="M7" s="262">
        <f ca="1">'2-1投资计划表--分子项'!H52</f>
        <v>8896.9524396378274</v>
      </c>
      <c r="N7" s="261" t="str">
        <f t="shared" ca="1" si="4"/>
        <v>通过</v>
      </c>
      <c r="O7" s="202"/>
      <c r="P7" s="202"/>
    </row>
    <row r="8" spans="2:17" ht="30.9" customHeight="1">
      <c r="B8" s="198">
        <v>6</v>
      </c>
      <c r="C8" s="200" t="str">
        <f t="shared" si="2"/>
        <v>特勤消防站项目</v>
      </c>
      <c r="D8" s="197">
        <f t="shared" si="3"/>
        <v>1467.81</v>
      </c>
      <c r="E8" s="197">
        <f t="shared" si="3"/>
        <v>972.94</v>
      </c>
      <c r="F8" s="197">
        <f t="shared" si="3"/>
        <v>297.27</v>
      </c>
      <c r="G8" s="197">
        <f t="shared" si="3"/>
        <v>150</v>
      </c>
      <c r="H8" s="197">
        <f t="shared" si="3"/>
        <v>136.9</v>
      </c>
      <c r="I8" s="197">
        <f t="shared" si="3"/>
        <v>2874.92</v>
      </c>
      <c r="J8" s="197">
        <f ca="1">'2-1投资计划表--分子项'!Q14</f>
        <v>201.73608651911468</v>
      </c>
      <c r="K8" s="197">
        <f t="shared" ca="1" si="1"/>
        <v>3076.656086519115</v>
      </c>
      <c r="M8" s="262">
        <f ca="1">'2-1投资计划表--分子项'!Q8</f>
        <v>3076.656086519115</v>
      </c>
      <c r="N8" s="261" t="str">
        <f t="shared" ca="1" si="4"/>
        <v>通过</v>
      </c>
    </row>
    <row r="9" spans="2:17" ht="30.9" customHeight="1">
      <c r="B9" s="198">
        <v>7</v>
      </c>
      <c r="C9" s="200" t="str">
        <f t="shared" si="2"/>
        <v>双创园区标准化厂房（一期）项目</v>
      </c>
      <c r="D9" s="197">
        <f t="shared" si="3"/>
        <v>8861.2000000000007</v>
      </c>
      <c r="E9" s="197">
        <f t="shared" si="3"/>
        <v>115.58</v>
      </c>
      <c r="F9" s="197">
        <f t="shared" si="3"/>
        <v>2274.9699999999998</v>
      </c>
      <c r="G9" s="197">
        <f t="shared" si="3"/>
        <v>1780</v>
      </c>
      <c r="H9" s="197">
        <f t="shared" si="3"/>
        <v>562.59</v>
      </c>
      <c r="I9" s="197">
        <f t="shared" si="3"/>
        <v>11814.34</v>
      </c>
      <c r="J9" s="197">
        <f ca="1">'2-1投资计划表--分子项'!Q25</f>
        <v>829.02436116700198</v>
      </c>
      <c r="K9" s="197">
        <f t="shared" ca="1" si="1"/>
        <v>12643.364361167001</v>
      </c>
      <c r="M9" s="262">
        <f ca="1">'2-1投资计划表--分子项'!Q19</f>
        <v>12643.364361167001</v>
      </c>
      <c r="N9" s="261" t="str">
        <f t="shared" ca="1" si="4"/>
        <v>通过</v>
      </c>
    </row>
    <row r="10" spans="2:17" ht="30.9" customHeight="1">
      <c r="B10" s="198">
        <v>8</v>
      </c>
      <c r="C10" s="200" t="str">
        <f t="shared" si="2"/>
        <v>双创园区标准化厂房（二期）项目</v>
      </c>
      <c r="D10" s="197">
        <f t="shared" si="3"/>
        <v>12401.22</v>
      </c>
      <c r="E10" s="197">
        <f t="shared" si="3"/>
        <v>161.81</v>
      </c>
      <c r="F10" s="197">
        <f t="shared" si="3"/>
        <v>3107.08</v>
      </c>
      <c r="G10" s="197">
        <f t="shared" si="3"/>
        <v>2438.6</v>
      </c>
      <c r="H10" s="197">
        <f t="shared" si="3"/>
        <v>783.51</v>
      </c>
      <c r="I10" s="197">
        <f t="shared" si="3"/>
        <v>16453.62</v>
      </c>
      <c r="J10" s="197">
        <f ca="1">'2-1投资计划表--分子项'!Q36</f>
        <v>1154.5673993963783</v>
      </c>
      <c r="K10" s="197">
        <f t="shared" ca="1" si="1"/>
        <v>17608.187399396378</v>
      </c>
      <c r="M10" s="262">
        <f ca="1">'2-1投资计划表--分子项'!Q30</f>
        <v>17608.187399396378</v>
      </c>
      <c r="N10" s="261" t="str">
        <f t="shared" ca="1" si="4"/>
        <v>通过</v>
      </c>
    </row>
    <row r="11" spans="2:17" ht="30.9" customHeight="1">
      <c r="B11" s="198">
        <v>9</v>
      </c>
      <c r="C11" s="200" t="str">
        <f t="shared" si="2"/>
        <v>危险品运输车辆停车场项目</v>
      </c>
      <c r="D11" s="197">
        <f t="shared" si="3"/>
        <v>3345.03</v>
      </c>
      <c r="E11" s="197">
        <f t="shared" si="3"/>
        <v>387.28</v>
      </c>
      <c r="F11" s="197">
        <f t="shared" si="3"/>
        <v>698.78</v>
      </c>
      <c r="G11" s="197">
        <f t="shared" si="3"/>
        <v>0</v>
      </c>
      <c r="H11" s="197">
        <f t="shared" si="3"/>
        <v>28.86</v>
      </c>
      <c r="I11" s="197">
        <f t="shared" si="3"/>
        <v>4459.95</v>
      </c>
      <c r="J11" s="197">
        <f ca="1">'2-1投资计划表--分子项'!Q47</f>
        <v>312.95926810865188</v>
      </c>
      <c r="K11" s="197">
        <f t="shared" ca="1" si="1"/>
        <v>4772.9092681086513</v>
      </c>
      <c r="M11" s="262">
        <f ca="1">'2-1投资计划表--分子项'!Q41</f>
        <v>4772.9092681086513</v>
      </c>
      <c r="N11" s="261" t="str">
        <f t="shared" ca="1" si="4"/>
        <v>通过</v>
      </c>
      <c r="O11" s="184"/>
      <c r="P11" s="184"/>
    </row>
    <row r="12" spans="2:17" ht="30.9" customHeight="1">
      <c r="B12" s="490" t="s">
        <v>42</v>
      </c>
      <c r="C12" s="490"/>
      <c r="D12" s="197">
        <f>SUM(D3:D11)</f>
        <v>46244.71</v>
      </c>
      <c r="E12" s="197">
        <f t="shared" ref="E12:K12" si="5">SUM(E3:E11)</f>
        <v>4034.34</v>
      </c>
      <c r="F12" s="197">
        <f t="shared" si="5"/>
        <v>10410.43</v>
      </c>
      <c r="G12" s="317">
        <f t="shared" si="5"/>
        <v>6918.6</v>
      </c>
      <c r="H12" s="197">
        <f t="shared" si="5"/>
        <v>3199.4100000000003</v>
      </c>
      <c r="I12" s="197">
        <f t="shared" si="5"/>
        <v>63888.889999999985</v>
      </c>
      <c r="J12" s="197">
        <f t="shared" ca="1" si="5"/>
        <v>4483.148971327967</v>
      </c>
      <c r="K12" s="197">
        <f t="shared" ca="1" si="5"/>
        <v>68372.038971327973</v>
      </c>
      <c r="M12" s="262">
        <f ca="1">'2投资计划表'!H10</f>
        <v>68372.038971327973</v>
      </c>
      <c r="N12" s="261" t="str">
        <f t="shared" ca="1" si="4"/>
        <v>通过</v>
      </c>
      <c r="O12" s="184"/>
      <c r="P12" s="264"/>
    </row>
    <row r="13" spans="2:17" ht="30.9" customHeight="1">
      <c r="O13" s="184"/>
      <c r="P13" s="184"/>
      <c r="Q13" s="185"/>
    </row>
    <row r="14" spans="2:17" ht="29.1" customHeight="1">
      <c r="B14" s="199" t="s">
        <v>0</v>
      </c>
      <c r="C14" s="199" t="s">
        <v>1</v>
      </c>
      <c r="D14" s="398" t="s">
        <v>378</v>
      </c>
      <c r="E14" s="399"/>
    </row>
    <row r="15" spans="2:17" ht="68.099999999999994" customHeight="1">
      <c r="B15" s="400">
        <v>1</v>
      </c>
      <c r="C15" s="200" t="s">
        <v>366</v>
      </c>
      <c r="D15" s="398" t="s">
        <v>508</v>
      </c>
      <c r="E15" s="399" t="str">
        <f>C7</f>
        <v>纬九路（经七路-经九路）道路管网建设工程</v>
      </c>
      <c r="H15" s="386" t="s">
        <v>512</v>
      </c>
      <c r="J15" s="178">
        <v>8314</v>
      </c>
    </row>
    <row r="16" spans="2:17" ht="29.1" customHeight="1">
      <c r="B16" s="400">
        <v>2</v>
      </c>
      <c r="C16" s="200" t="s">
        <v>384</v>
      </c>
      <c r="D16" s="398" t="s">
        <v>509</v>
      </c>
      <c r="E16" s="399"/>
      <c r="H16" s="386" t="s">
        <v>513</v>
      </c>
      <c r="J16" s="178">
        <v>5000</v>
      </c>
    </row>
    <row r="17" spans="2:11" ht="29.1" customHeight="1">
      <c r="B17" s="400">
        <v>3</v>
      </c>
      <c r="C17" s="200" t="s">
        <v>368</v>
      </c>
      <c r="D17" s="491" t="s">
        <v>510</v>
      </c>
      <c r="E17" s="399"/>
      <c r="H17" s="399">
        <f>F9</f>
        <v>2274.9699999999998</v>
      </c>
      <c r="J17" s="178">
        <v>10000</v>
      </c>
    </row>
    <row r="18" spans="2:11" ht="29.1" customHeight="1">
      <c r="B18" s="400">
        <v>4</v>
      </c>
      <c r="C18" s="200" t="s">
        <v>367</v>
      </c>
      <c r="D18" s="491"/>
      <c r="E18" s="399"/>
    </row>
    <row r="19" spans="2:11" ht="29.1" customHeight="1">
      <c r="B19" s="400">
        <v>5</v>
      </c>
      <c r="C19" s="200" t="s">
        <v>385</v>
      </c>
      <c r="D19" s="491"/>
      <c r="E19" s="399"/>
    </row>
    <row r="20" spans="2:11" ht="29.1" customHeight="1">
      <c r="B20" s="400">
        <v>6</v>
      </c>
      <c r="C20" s="200" t="s">
        <v>397</v>
      </c>
      <c r="D20" s="491"/>
      <c r="E20" s="399"/>
    </row>
    <row r="21" spans="2:11" ht="29.1" customHeight="1">
      <c r="B21" s="400">
        <v>7</v>
      </c>
      <c r="C21" s="200" t="s">
        <v>361</v>
      </c>
      <c r="D21" s="491"/>
      <c r="E21" s="399"/>
    </row>
    <row r="22" spans="2:11" ht="29.1" customHeight="1">
      <c r="B22" s="400">
        <v>8</v>
      </c>
      <c r="C22" s="200" t="s">
        <v>362</v>
      </c>
      <c r="D22" s="491"/>
      <c r="E22" s="399"/>
    </row>
    <row r="23" spans="2:11" ht="39.9" customHeight="1">
      <c r="B23" s="400">
        <v>9</v>
      </c>
      <c r="C23" s="200" t="s">
        <v>401</v>
      </c>
      <c r="D23" s="398" t="s">
        <v>508</v>
      </c>
      <c r="E23" s="399" t="str">
        <f>C11</f>
        <v>危险品运输车辆停车场项目</v>
      </c>
    </row>
    <row r="24" spans="2:11" ht="29.1" customHeight="1">
      <c r="B24" s="383"/>
      <c r="C24" s="384"/>
      <c r="D24" s="385"/>
    </row>
    <row r="25" spans="2:11">
      <c r="B25" s="183" t="s">
        <v>511</v>
      </c>
    </row>
    <row r="26" spans="2:11" ht="34.799999999999997">
      <c r="B26" s="199" t="s">
        <v>0</v>
      </c>
      <c r="C26" s="199" t="s">
        <v>1</v>
      </c>
      <c r="D26" s="199" t="s">
        <v>370</v>
      </c>
      <c r="E26" s="199" t="s">
        <v>369</v>
      </c>
      <c r="F26" s="199" t="s">
        <v>17</v>
      </c>
      <c r="G26" s="316" t="s">
        <v>364</v>
      </c>
      <c r="H26" s="199" t="s">
        <v>20</v>
      </c>
      <c r="I26" s="199" t="s">
        <v>363</v>
      </c>
      <c r="J26" s="199" t="s">
        <v>22</v>
      </c>
      <c r="K26" s="199" t="s">
        <v>376</v>
      </c>
    </row>
    <row r="27" spans="2:11" ht="17.399999999999999">
      <c r="B27" s="382">
        <v>1</v>
      </c>
      <c r="C27" s="200" t="s">
        <v>384</v>
      </c>
      <c r="D27" s="197">
        <v>7725.19</v>
      </c>
      <c r="E27" s="197">
        <v>1510.01</v>
      </c>
      <c r="F27" s="197">
        <v>511.27</v>
      </c>
      <c r="G27" s="317"/>
      <c r="H27" s="197">
        <v>779.72</v>
      </c>
      <c r="I27" s="197">
        <f t="shared" ref="I27:I32" si="6">SUM(D27:H27)-G27</f>
        <v>10526.189999999999</v>
      </c>
      <c r="J27" s="197"/>
      <c r="K27" s="197">
        <f>I27+J27</f>
        <v>10526.189999999999</v>
      </c>
    </row>
    <row r="28" spans="2:11" ht="17.399999999999999">
      <c r="B28" s="382">
        <v>2</v>
      </c>
      <c r="C28" s="200" t="s">
        <v>368</v>
      </c>
      <c r="D28" s="197">
        <f>2085.48+178.2</f>
        <v>2263.6799999999998</v>
      </c>
      <c r="E28" s="197">
        <v>436.16</v>
      </c>
      <c r="F28" s="197">
        <v>1076.06</v>
      </c>
      <c r="G28" s="317">
        <v>900</v>
      </c>
      <c r="H28" s="197">
        <v>79.099999999999994</v>
      </c>
      <c r="I28" s="197">
        <f t="shared" si="6"/>
        <v>3855</v>
      </c>
      <c r="J28" s="197"/>
      <c r="K28" s="197">
        <f t="shared" ref="K28:K34" si="7">I28+J28</f>
        <v>3855</v>
      </c>
    </row>
    <row r="29" spans="2:11" ht="17.399999999999999">
      <c r="B29" s="388">
        <v>3</v>
      </c>
      <c r="C29" s="200" t="s">
        <v>367</v>
      </c>
      <c r="D29" s="197">
        <f>1355.77+115.83</f>
        <v>1471.6</v>
      </c>
      <c r="E29" s="197">
        <v>283.41000000000003</v>
      </c>
      <c r="F29" s="197">
        <v>143.75</v>
      </c>
      <c r="G29" s="317"/>
      <c r="H29" s="197">
        <v>95.25</v>
      </c>
      <c r="I29" s="197">
        <f t="shared" si="6"/>
        <v>1994.01</v>
      </c>
      <c r="J29" s="197"/>
      <c r="K29" s="197">
        <f t="shared" si="7"/>
        <v>1994.01</v>
      </c>
    </row>
    <row r="30" spans="2:11" ht="17.399999999999999">
      <c r="B30" s="388">
        <v>4</v>
      </c>
      <c r="C30" s="200" t="s">
        <v>385</v>
      </c>
      <c r="D30" s="197">
        <v>2353.11</v>
      </c>
      <c r="E30" s="197">
        <v>167.15</v>
      </c>
      <c r="F30" s="197">
        <v>959.36</v>
      </c>
      <c r="G30" s="317">
        <v>840</v>
      </c>
      <c r="H30" s="197">
        <v>117.66</v>
      </c>
      <c r="I30" s="197">
        <f t="shared" si="6"/>
        <v>3597.2800000000007</v>
      </c>
      <c r="J30" s="197"/>
      <c r="K30" s="197">
        <f t="shared" si="7"/>
        <v>3597.2800000000007</v>
      </c>
    </row>
    <row r="31" spans="2:11" ht="17.399999999999999">
      <c r="B31" s="388">
        <v>5</v>
      </c>
      <c r="C31" s="200" t="s">
        <v>515</v>
      </c>
      <c r="D31" s="197">
        <v>6355.87</v>
      </c>
      <c r="E31" s="197"/>
      <c r="F31" s="197">
        <v>1341.89</v>
      </c>
      <c r="G31" s="317">
        <v>810</v>
      </c>
      <c r="H31" s="197">
        <v>615.82000000000005</v>
      </c>
      <c r="I31" s="197">
        <f t="shared" si="6"/>
        <v>8313.58</v>
      </c>
      <c r="J31" s="197"/>
      <c r="K31" s="197">
        <f>I31+J31</f>
        <v>8313.58</v>
      </c>
    </row>
    <row r="32" spans="2:11" ht="17.399999999999999">
      <c r="B32" s="388">
        <v>6</v>
      </c>
      <c r="C32" s="200" t="s">
        <v>397</v>
      </c>
      <c r="D32" s="197">
        <v>1467.81</v>
      </c>
      <c r="E32" s="197">
        <v>972.94</v>
      </c>
      <c r="F32" s="197">
        <v>297.27</v>
      </c>
      <c r="G32" s="317">
        <v>150</v>
      </c>
      <c r="H32" s="197">
        <v>136.9</v>
      </c>
      <c r="I32" s="197">
        <f t="shared" si="6"/>
        <v>2874.92</v>
      </c>
      <c r="J32" s="197"/>
      <c r="K32" s="197">
        <f t="shared" si="7"/>
        <v>2874.92</v>
      </c>
    </row>
    <row r="33" spans="2:11" ht="17.399999999999999">
      <c r="B33" s="388">
        <v>7</v>
      </c>
      <c r="C33" s="200" t="s">
        <v>361</v>
      </c>
      <c r="D33" s="197">
        <v>8861.2000000000007</v>
      </c>
      <c r="E33" s="197">
        <v>115.58</v>
      </c>
      <c r="F33" s="197">
        <v>2274.9699999999998</v>
      </c>
      <c r="G33" s="317">
        <v>1780</v>
      </c>
      <c r="H33" s="197">
        <v>562.59</v>
      </c>
      <c r="I33" s="197">
        <f>SUM(D33:H33)-G33</f>
        <v>11814.34</v>
      </c>
      <c r="J33" s="197"/>
      <c r="K33" s="197">
        <f t="shared" si="7"/>
        <v>11814.34</v>
      </c>
    </row>
    <row r="34" spans="2:11" ht="17.399999999999999">
      <c r="B34" s="388">
        <v>8</v>
      </c>
      <c r="C34" s="200" t="s">
        <v>362</v>
      </c>
      <c r="D34" s="197">
        <v>12401.22</v>
      </c>
      <c r="E34" s="197">
        <v>161.81</v>
      </c>
      <c r="F34" s="197">
        <v>3107.08</v>
      </c>
      <c r="G34" s="317">
        <v>2438.6</v>
      </c>
      <c r="H34" s="197">
        <v>783.51</v>
      </c>
      <c r="I34" s="197">
        <f t="shared" ref="I34:I35" si="8">SUM(D34:H34)-G34</f>
        <v>16453.62</v>
      </c>
      <c r="J34" s="197"/>
      <c r="K34" s="197">
        <f t="shared" si="7"/>
        <v>16453.62</v>
      </c>
    </row>
    <row r="35" spans="2:11" ht="17.399999999999999">
      <c r="B35" s="388">
        <v>9</v>
      </c>
      <c r="C35" s="200" t="s">
        <v>514</v>
      </c>
      <c r="D35" s="197">
        <v>3345.03</v>
      </c>
      <c r="E35" s="197">
        <v>387.28</v>
      </c>
      <c r="F35" s="197">
        <v>698.78</v>
      </c>
      <c r="G35" s="317"/>
      <c r="H35" s="197">
        <v>28.86</v>
      </c>
      <c r="I35" s="197">
        <f t="shared" si="8"/>
        <v>4459.95</v>
      </c>
      <c r="J35" s="197"/>
      <c r="K35" s="197">
        <f>I35+J35</f>
        <v>4459.95</v>
      </c>
    </row>
    <row r="36" spans="2:11" ht="17.399999999999999">
      <c r="B36" s="490" t="s">
        <v>42</v>
      </c>
      <c r="C36" s="490"/>
      <c r="D36" s="197">
        <f t="shared" ref="D36:I36" si="9">SUM(D27:D35)</f>
        <v>46244.71</v>
      </c>
      <c r="E36" s="197">
        <f t="shared" si="9"/>
        <v>4034.34</v>
      </c>
      <c r="F36" s="197">
        <f t="shared" si="9"/>
        <v>10410.43</v>
      </c>
      <c r="G36" s="317">
        <f t="shared" si="9"/>
        <v>6918.6</v>
      </c>
      <c r="H36" s="197">
        <f t="shared" si="9"/>
        <v>3199.4100000000003</v>
      </c>
      <c r="I36" s="197">
        <f t="shared" si="9"/>
        <v>63888.889999999985</v>
      </c>
      <c r="J36" s="197"/>
      <c r="K36" s="197">
        <f>SUM(K27:K35)</f>
        <v>63888.889999999985</v>
      </c>
    </row>
    <row r="38" spans="2:11">
      <c r="F38" s="178" t="s">
        <v>522</v>
      </c>
      <c r="H38" s="178" t="s">
        <v>13</v>
      </c>
      <c r="K38" s="387"/>
    </row>
    <row r="39" spans="2:11">
      <c r="E39" s="178" t="s">
        <v>518</v>
      </c>
      <c r="F39" s="393">
        <f>F40+F41+F42+F44</f>
        <v>4459.95</v>
      </c>
      <c r="H39" s="395">
        <v>4431.09</v>
      </c>
    </row>
    <row r="40" spans="2:11">
      <c r="E40" s="392" t="s">
        <v>519</v>
      </c>
      <c r="F40" s="393">
        <v>3732.27</v>
      </c>
      <c r="G40" s="394">
        <f>F40/$F$39</f>
        <v>0.83684122019305152</v>
      </c>
      <c r="H40" s="195">
        <f>$H$39*I40</f>
        <v>3227.1628470000001</v>
      </c>
      <c r="I40" s="185">
        <v>0.72829999999999995</v>
      </c>
      <c r="J40" s="178" t="s">
        <v>516</v>
      </c>
    </row>
    <row r="41" spans="2:11">
      <c r="E41" s="184" t="s">
        <v>520</v>
      </c>
      <c r="F41" s="393">
        <v>370.59</v>
      </c>
      <c r="G41" s="394">
        <f t="shared" ref="G41:G44" si="10">F41/$F$39</f>
        <v>8.3092859785423606E-2</v>
      </c>
      <c r="H41" s="195">
        <f t="shared" ref="H41:H43" si="11">$H$39*I41</f>
        <v>117.86699399999999</v>
      </c>
      <c r="I41" s="185">
        <v>2.6599999999999999E-2</v>
      </c>
      <c r="J41" s="178" t="s">
        <v>517</v>
      </c>
    </row>
    <row r="42" spans="2:11">
      <c r="E42" s="184" t="s">
        <v>20</v>
      </c>
      <c r="F42" s="393">
        <v>328.23</v>
      </c>
      <c r="G42" s="394">
        <f t="shared" si="10"/>
        <v>7.3594995459590362E-2</v>
      </c>
      <c r="H42" s="195">
        <f t="shared" si="11"/>
        <v>387.27726600000005</v>
      </c>
      <c r="I42" s="185">
        <v>8.7400000000000005E-2</v>
      </c>
      <c r="J42" s="178" t="s">
        <v>369</v>
      </c>
    </row>
    <row r="43" spans="2:11">
      <c r="E43" s="179" t="s">
        <v>22</v>
      </c>
      <c r="F43" s="393">
        <v>0</v>
      </c>
      <c r="G43" s="394">
        <f t="shared" si="10"/>
        <v>0</v>
      </c>
      <c r="H43" s="195">
        <f t="shared" si="11"/>
        <v>698.78289300000006</v>
      </c>
      <c r="I43" s="185">
        <v>0.15770000000000001</v>
      </c>
      <c r="J43" s="178" t="s">
        <v>523</v>
      </c>
    </row>
    <row r="44" spans="2:11">
      <c r="E44" s="185" t="s">
        <v>521</v>
      </c>
      <c r="F44" s="393">
        <v>28.86</v>
      </c>
      <c r="G44" s="394">
        <f t="shared" si="10"/>
        <v>6.4709245619345513E-3</v>
      </c>
    </row>
    <row r="45" spans="2:11">
      <c r="H45" s="195"/>
    </row>
  </sheetData>
  <mergeCells count="4">
    <mergeCell ref="B12:C12"/>
    <mergeCell ref="M2:N2"/>
    <mergeCell ref="D17:D22"/>
    <mergeCell ref="B36:C36"/>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91"/>
  <sheetViews>
    <sheetView workbookViewId="0">
      <selection activeCell="F138" sqref="F138"/>
    </sheetView>
  </sheetViews>
  <sheetFormatPr defaultColWidth="11" defaultRowHeight="15.6"/>
  <cols>
    <col min="3" max="3" width="21.36328125" customWidth="1"/>
    <col min="4" max="4" width="16.453125" customWidth="1"/>
    <col min="5" max="5" width="16" customWidth="1"/>
    <col min="6" max="6" width="12" customWidth="1"/>
  </cols>
  <sheetData>
    <row r="2" spans="2:6" ht="20.100000000000001" customHeight="1">
      <c r="B2" s="3" t="s">
        <v>24</v>
      </c>
    </row>
    <row r="3" spans="2:6" ht="20.100000000000001" customHeight="1">
      <c r="B3" s="4" t="s">
        <v>7</v>
      </c>
      <c r="C3" s="4" t="s">
        <v>8</v>
      </c>
      <c r="D3" s="4" t="s">
        <v>9</v>
      </c>
      <c r="E3" s="4" t="s">
        <v>10</v>
      </c>
      <c r="F3" s="4" t="s">
        <v>11</v>
      </c>
    </row>
    <row r="4" spans="2:6" ht="20.100000000000001" customHeight="1">
      <c r="B4" s="4" t="s">
        <v>12</v>
      </c>
      <c r="C4" s="4" t="s">
        <v>13</v>
      </c>
      <c r="D4" s="1"/>
      <c r="E4" s="1"/>
      <c r="F4" s="1"/>
    </row>
    <row r="5" spans="2:6" ht="20.100000000000001" customHeight="1">
      <c r="B5" s="4" t="s">
        <v>14</v>
      </c>
      <c r="C5" s="4" t="s">
        <v>15</v>
      </c>
      <c r="D5" s="1"/>
      <c r="E5" s="1"/>
      <c r="F5" s="1"/>
    </row>
    <row r="6" spans="2:6" ht="20.100000000000001" customHeight="1">
      <c r="B6" s="4" t="s">
        <v>16</v>
      </c>
      <c r="C6" s="4" t="s">
        <v>17</v>
      </c>
      <c r="D6" s="1"/>
      <c r="E6" s="1"/>
      <c r="F6" s="1"/>
    </row>
    <row r="7" spans="2:6" ht="20.100000000000001" customHeight="1">
      <c r="B7" s="4" t="s">
        <v>19</v>
      </c>
      <c r="C7" s="4" t="s">
        <v>20</v>
      </c>
      <c r="D7" s="1"/>
      <c r="E7" s="1"/>
      <c r="F7" s="1"/>
    </row>
    <row r="8" spans="2:6" ht="20.100000000000001" customHeight="1">
      <c r="B8" s="4" t="s">
        <v>21</v>
      </c>
      <c r="C8" s="4" t="s">
        <v>22</v>
      </c>
      <c r="D8" s="1"/>
      <c r="E8" s="1"/>
      <c r="F8" s="1"/>
    </row>
    <row r="9" spans="2:6" ht="20.100000000000001" customHeight="1">
      <c r="B9" s="485" t="s">
        <v>23</v>
      </c>
      <c r="C9" s="485"/>
      <c r="D9" s="1"/>
      <c r="E9" s="1"/>
      <c r="F9" s="1"/>
    </row>
    <row r="10" spans="2:6" ht="20.100000000000001" customHeight="1"/>
    <row r="11" spans="2:6" ht="20.100000000000001" customHeight="1"/>
    <row r="12" spans="2:6" ht="20.100000000000001" customHeight="1">
      <c r="B12" s="3" t="s">
        <v>26</v>
      </c>
    </row>
    <row r="13" spans="2:6" ht="20.100000000000001" customHeight="1">
      <c r="B13" s="4" t="s">
        <v>7</v>
      </c>
      <c r="C13" s="4" t="s">
        <v>8</v>
      </c>
      <c r="D13" s="4" t="s">
        <v>9</v>
      </c>
      <c r="E13" s="4" t="s">
        <v>10</v>
      </c>
      <c r="F13" s="4" t="s">
        <v>11</v>
      </c>
    </row>
    <row r="14" spans="2:6" ht="20.100000000000001" customHeight="1">
      <c r="B14" s="4" t="s">
        <v>12</v>
      </c>
      <c r="C14" s="4" t="s">
        <v>13</v>
      </c>
      <c r="D14" s="1"/>
      <c r="E14" s="1"/>
      <c r="F14" s="1"/>
    </row>
    <row r="15" spans="2:6" ht="20.100000000000001" customHeight="1">
      <c r="B15" s="4" t="s">
        <v>14</v>
      </c>
      <c r="C15" s="4" t="s">
        <v>15</v>
      </c>
      <c r="D15" s="1"/>
      <c r="E15" s="1"/>
      <c r="F15" s="1"/>
    </row>
    <row r="16" spans="2:6" ht="20.100000000000001" customHeight="1">
      <c r="B16" s="4" t="s">
        <v>16</v>
      </c>
      <c r="C16" s="4" t="s">
        <v>17</v>
      </c>
      <c r="D16" s="1"/>
      <c r="E16" s="1"/>
      <c r="F16" s="1"/>
    </row>
    <row r="17" spans="2:6" ht="20.100000000000001" customHeight="1">
      <c r="B17" s="4" t="s">
        <v>19</v>
      </c>
      <c r="C17" s="4" t="s">
        <v>20</v>
      </c>
      <c r="D17" s="1"/>
      <c r="E17" s="1"/>
      <c r="F17" s="1"/>
    </row>
    <row r="18" spans="2:6" ht="20.100000000000001" customHeight="1">
      <c r="B18" s="4" t="s">
        <v>21</v>
      </c>
      <c r="C18" s="4" t="s">
        <v>22</v>
      </c>
      <c r="D18" s="1"/>
      <c r="E18" s="1"/>
      <c r="F18" s="1"/>
    </row>
    <row r="19" spans="2:6" ht="20.100000000000001" customHeight="1">
      <c r="B19" s="485" t="s">
        <v>23</v>
      </c>
      <c r="C19" s="485"/>
      <c r="D19" s="1"/>
      <c r="E19" s="1"/>
      <c r="F19" s="1"/>
    </row>
    <row r="20" spans="2:6" ht="20.100000000000001" customHeight="1"/>
    <row r="21" spans="2:6" ht="20.100000000000001" customHeight="1"/>
    <row r="22" spans="2:6" ht="20.100000000000001" customHeight="1">
      <c r="B22" s="3" t="s">
        <v>27</v>
      </c>
    </row>
    <row r="23" spans="2:6" ht="20.100000000000001" customHeight="1">
      <c r="B23" s="4" t="s">
        <v>7</v>
      </c>
      <c r="C23" s="4" t="s">
        <v>8</v>
      </c>
      <c r="D23" s="4" t="s">
        <v>9</v>
      </c>
      <c r="E23" s="4" t="s">
        <v>10</v>
      </c>
      <c r="F23" s="4" t="s">
        <v>11</v>
      </c>
    </row>
    <row r="24" spans="2:6" ht="20.100000000000001" customHeight="1">
      <c r="B24" s="4" t="s">
        <v>12</v>
      </c>
      <c r="C24" s="4" t="s">
        <v>13</v>
      </c>
      <c r="D24" s="1"/>
      <c r="E24" s="1"/>
      <c r="F24" s="1"/>
    </row>
    <row r="25" spans="2:6" ht="20.100000000000001" customHeight="1">
      <c r="B25" s="4" t="s">
        <v>14</v>
      </c>
      <c r="C25" s="4" t="s">
        <v>15</v>
      </c>
      <c r="D25" s="1"/>
      <c r="E25" s="1"/>
      <c r="F25" s="1"/>
    </row>
    <row r="26" spans="2:6" ht="20.100000000000001" customHeight="1">
      <c r="B26" s="4" t="s">
        <v>16</v>
      </c>
      <c r="C26" s="4" t="s">
        <v>17</v>
      </c>
      <c r="D26" s="1"/>
      <c r="E26" s="1"/>
      <c r="F26" s="1"/>
    </row>
    <row r="27" spans="2:6" ht="20.100000000000001" customHeight="1">
      <c r="B27" s="4" t="s">
        <v>19</v>
      </c>
      <c r="C27" s="4" t="s">
        <v>20</v>
      </c>
      <c r="D27" s="1"/>
      <c r="E27" s="1"/>
      <c r="F27" s="1"/>
    </row>
    <row r="28" spans="2:6" ht="20.100000000000001" customHeight="1">
      <c r="B28" s="4" t="s">
        <v>21</v>
      </c>
      <c r="C28" s="4" t="s">
        <v>22</v>
      </c>
      <c r="D28" s="1"/>
      <c r="E28" s="1"/>
      <c r="F28" s="1"/>
    </row>
    <row r="29" spans="2:6" ht="20.100000000000001" customHeight="1">
      <c r="B29" s="485" t="s">
        <v>23</v>
      </c>
      <c r="C29" s="485"/>
      <c r="D29" s="1"/>
      <c r="E29" s="1"/>
      <c r="F29" s="1"/>
    </row>
    <row r="30" spans="2:6" ht="20.100000000000001" customHeight="1"/>
    <row r="31" spans="2:6" ht="20.100000000000001" customHeight="1"/>
    <row r="32" spans="2:6" ht="20.100000000000001" customHeight="1">
      <c r="B32" s="3" t="s">
        <v>28</v>
      </c>
    </row>
    <row r="33" spans="2:6" ht="20.100000000000001" customHeight="1">
      <c r="B33" s="4" t="s">
        <v>7</v>
      </c>
      <c r="C33" s="4" t="s">
        <v>8</v>
      </c>
      <c r="D33" s="4" t="s">
        <v>9</v>
      </c>
      <c r="E33" s="4" t="s">
        <v>10</v>
      </c>
      <c r="F33" s="4" t="s">
        <v>11</v>
      </c>
    </row>
    <row r="34" spans="2:6" ht="20.100000000000001" customHeight="1">
      <c r="B34" s="4" t="s">
        <v>12</v>
      </c>
      <c r="C34" s="4" t="s">
        <v>13</v>
      </c>
      <c r="D34" s="1"/>
      <c r="E34" s="1"/>
      <c r="F34" s="1"/>
    </row>
    <row r="35" spans="2:6" ht="20.100000000000001" customHeight="1">
      <c r="B35" s="4" t="s">
        <v>14</v>
      </c>
      <c r="C35" s="4" t="s">
        <v>15</v>
      </c>
      <c r="D35" s="1"/>
      <c r="E35" s="1"/>
      <c r="F35" s="1"/>
    </row>
    <row r="36" spans="2:6" ht="20.100000000000001" customHeight="1">
      <c r="B36" s="4" t="s">
        <v>16</v>
      </c>
      <c r="C36" s="4" t="s">
        <v>17</v>
      </c>
      <c r="D36" s="1"/>
      <c r="E36" s="1"/>
      <c r="F36" s="1"/>
    </row>
    <row r="37" spans="2:6" ht="20.100000000000001" customHeight="1">
      <c r="B37" s="4" t="s">
        <v>19</v>
      </c>
      <c r="C37" s="4" t="s">
        <v>20</v>
      </c>
      <c r="D37" s="1"/>
      <c r="E37" s="1"/>
      <c r="F37" s="1"/>
    </row>
    <row r="38" spans="2:6" ht="20.100000000000001" customHeight="1">
      <c r="B38" s="4" t="s">
        <v>21</v>
      </c>
      <c r="C38" s="4" t="s">
        <v>22</v>
      </c>
      <c r="D38" s="1"/>
      <c r="E38" s="1"/>
      <c r="F38" s="1"/>
    </row>
    <row r="39" spans="2:6" ht="20.100000000000001" customHeight="1">
      <c r="B39" s="485" t="s">
        <v>23</v>
      </c>
      <c r="C39" s="485"/>
      <c r="D39" s="1"/>
      <c r="E39" s="1"/>
      <c r="F39" s="1"/>
    </row>
    <row r="40" spans="2:6" ht="20.100000000000001" customHeight="1"/>
    <row r="41" spans="2:6" ht="20.100000000000001" customHeight="1"/>
    <row r="42" spans="2:6" ht="20.100000000000001" customHeight="1">
      <c r="B42" s="3" t="s">
        <v>29</v>
      </c>
    </row>
    <row r="43" spans="2:6" ht="20.100000000000001" customHeight="1">
      <c r="B43" s="4" t="s">
        <v>7</v>
      </c>
      <c r="C43" s="4" t="s">
        <v>8</v>
      </c>
      <c r="D43" s="4" t="s">
        <v>9</v>
      </c>
      <c r="E43" s="4" t="s">
        <v>10</v>
      </c>
      <c r="F43" s="4" t="s">
        <v>11</v>
      </c>
    </row>
    <row r="44" spans="2:6" ht="20.100000000000001" customHeight="1">
      <c r="B44" s="4" t="s">
        <v>12</v>
      </c>
      <c r="C44" s="4" t="s">
        <v>13</v>
      </c>
      <c r="D44" s="1"/>
      <c r="E44" s="1"/>
      <c r="F44" s="1"/>
    </row>
    <row r="45" spans="2:6" ht="20.100000000000001" customHeight="1">
      <c r="B45" s="4" t="s">
        <v>14</v>
      </c>
      <c r="C45" s="4" t="s">
        <v>15</v>
      </c>
      <c r="D45" s="1"/>
      <c r="E45" s="1"/>
      <c r="F45" s="1"/>
    </row>
    <row r="46" spans="2:6" ht="20.100000000000001" customHeight="1">
      <c r="B46" s="4" t="s">
        <v>16</v>
      </c>
      <c r="C46" s="4" t="s">
        <v>17</v>
      </c>
      <c r="D46" s="1"/>
      <c r="E46" s="1"/>
      <c r="F46" s="1"/>
    </row>
    <row r="47" spans="2:6" ht="20.100000000000001" customHeight="1">
      <c r="B47" s="4" t="s">
        <v>19</v>
      </c>
      <c r="C47" s="4" t="s">
        <v>20</v>
      </c>
      <c r="D47" s="1"/>
      <c r="E47" s="1"/>
      <c r="F47" s="1"/>
    </row>
    <row r="48" spans="2:6" ht="20.100000000000001" customHeight="1">
      <c r="B48" s="4" t="s">
        <v>21</v>
      </c>
      <c r="C48" s="4" t="s">
        <v>22</v>
      </c>
      <c r="D48" s="1"/>
      <c r="E48" s="1"/>
      <c r="F48" s="1"/>
    </row>
    <row r="49" spans="2:6" ht="20.100000000000001" customHeight="1">
      <c r="B49" s="485" t="s">
        <v>23</v>
      </c>
      <c r="C49" s="485"/>
      <c r="D49" s="1"/>
      <c r="E49" s="1"/>
      <c r="F49" s="1"/>
    </row>
    <row r="50" spans="2:6" ht="20.100000000000001" customHeight="1"/>
    <row r="51" spans="2:6" ht="20.100000000000001" customHeight="1"/>
    <row r="52" spans="2:6" ht="20.100000000000001" customHeight="1">
      <c r="B52" s="3" t="s">
        <v>30</v>
      </c>
    </row>
    <row r="53" spans="2:6" ht="20.100000000000001" customHeight="1">
      <c r="B53" s="4" t="s">
        <v>7</v>
      </c>
      <c r="C53" s="4" t="s">
        <v>8</v>
      </c>
      <c r="D53" s="4" t="s">
        <v>9</v>
      </c>
      <c r="E53" s="4" t="s">
        <v>10</v>
      </c>
      <c r="F53" s="4" t="s">
        <v>11</v>
      </c>
    </row>
    <row r="54" spans="2:6" ht="20.100000000000001" customHeight="1">
      <c r="B54" s="4" t="s">
        <v>12</v>
      </c>
      <c r="C54" s="4" t="s">
        <v>13</v>
      </c>
      <c r="D54" s="1"/>
      <c r="E54" s="1"/>
      <c r="F54" s="1"/>
    </row>
    <row r="55" spans="2:6" ht="20.100000000000001" customHeight="1">
      <c r="B55" s="4" t="s">
        <v>14</v>
      </c>
      <c r="C55" s="4" t="s">
        <v>15</v>
      </c>
      <c r="D55" s="1"/>
      <c r="E55" s="1"/>
      <c r="F55" s="1"/>
    </row>
    <row r="56" spans="2:6" ht="20.100000000000001" customHeight="1">
      <c r="B56" s="4" t="s">
        <v>16</v>
      </c>
      <c r="C56" s="4" t="s">
        <v>17</v>
      </c>
      <c r="D56" s="1"/>
      <c r="E56" s="1"/>
      <c r="F56" s="1"/>
    </row>
    <row r="57" spans="2:6" ht="20.100000000000001" customHeight="1">
      <c r="B57" s="4" t="s">
        <v>19</v>
      </c>
      <c r="C57" s="4" t="s">
        <v>20</v>
      </c>
      <c r="D57" s="1"/>
      <c r="E57" s="1"/>
      <c r="F57" s="1"/>
    </row>
    <row r="58" spans="2:6" ht="20.100000000000001" customHeight="1">
      <c r="B58" s="4" t="s">
        <v>21</v>
      </c>
      <c r="C58" s="4" t="s">
        <v>22</v>
      </c>
      <c r="D58" s="1"/>
      <c r="E58" s="1"/>
      <c r="F58" s="1"/>
    </row>
    <row r="59" spans="2:6" ht="20.100000000000001" customHeight="1">
      <c r="B59" s="485" t="s">
        <v>23</v>
      </c>
      <c r="C59" s="485"/>
      <c r="D59" s="1"/>
      <c r="E59" s="1"/>
      <c r="F59" s="1"/>
    </row>
    <row r="60" spans="2:6" ht="20.100000000000001" customHeight="1"/>
    <row r="61" spans="2:6" ht="20.100000000000001" customHeight="1"/>
    <row r="62" spans="2:6" ht="20.100000000000001" customHeight="1">
      <c r="B62" s="3" t="s">
        <v>31</v>
      </c>
    </row>
    <row r="63" spans="2:6" ht="20.100000000000001" customHeight="1">
      <c r="B63" s="4" t="s">
        <v>7</v>
      </c>
      <c r="C63" s="4" t="s">
        <v>8</v>
      </c>
      <c r="D63" s="4" t="s">
        <v>9</v>
      </c>
      <c r="E63" s="4" t="s">
        <v>10</v>
      </c>
      <c r="F63" s="4" t="s">
        <v>11</v>
      </c>
    </row>
    <row r="64" spans="2:6" ht="20.100000000000001" customHeight="1">
      <c r="B64" s="4" t="s">
        <v>12</v>
      </c>
      <c r="C64" s="4" t="s">
        <v>13</v>
      </c>
      <c r="D64" s="1"/>
      <c r="E64" s="1"/>
      <c r="F64" s="1"/>
    </row>
    <row r="65" spans="2:6" ht="20.100000000000001" customHeight="1">
      <c r="B65" s="4" t="s">
        <v>14</v>
      </c>
      <c r="C65" s="4" t="s">
        <v>15</v>
      </c>
      <c r="D65" s="1"/>
      <c r="E65" s="1"/>
      <c r="F65" s="1"/>
    </row>
    <row r="66" spans="2:6" ht="20.100000000000001" customHeight="1">
      <c r="B66" s="4" t="s">
        <v>16</v>
      </c>
      <c r="C66" s="4" t="s">
        <v>17</v>
      </c>
      <c r="D66" s="1"/>
      <c r="E66" s="1"/>
      <c r="F66" s="1"/>
    </row>
    <row r="67" spans="2:6" ht="20.100000000000001" customHeight="1">
      <c r="B67" s="4" t="s">
        <v>19</v>
      </c>
      <c r="C67" s="4" t="s">
        <v>20</v>
      </c>
      <c r="D67" s="1"/>
      <c r="E67" s="1"/>
      <c r="F67" s="1"/>
    </row>
    <row r="68" spans="2:6" ht="20.100000000000001" customHeight="1">
      <c r="B68" s="4" t="s">
        <v>21</v>
      </c>
      <c r="C68" s="4" t="s">
        <v>22</v>
      </c>
      <c r="D68" s="1"/>
      <c r="E68" s="1"/>
      <c r="F68" s="1"/>
    </row>
    <row r="69" spans="2:6" ht="20.100000000000001" customHeight="1">
      <c r="B69" s="485" t="s">
        <v>23</v>
      </c>
      <c r="C69" s="485"/>
      <c r="D69" s="1"/>
      <c r="E69" s="1"/>
      <c r="F69" s="1"/>
    </row>
    <row r="70" spans="2:6" ht="20.100000000000001" customHeight="1"/>
    <row r="71" spans="2:6" ht="20.100000000000001" customHeight="1"/>
    <row r="72" spans="2:6" ht="20.100000000000001" customHeight="1">
      <c r="B72" s="3" t="s">
        <v>32</v>
      </c>
    </row>
    <row r="73" spans="2:6" ht="20.100000000000001" customHeight="1">
      <c r="B73" s="4" t="s">
        <v>7</v>
      </c>
      <c r="C73" s="4" t="s">
        <v>8</v>
      </c>
      <c r="D73" s="4" t="s">
        <v>9</v>
      </c>
      <c r="E73" s="4" t="s">
        <v>10</v>
      </c>
      <c r="F73" s="4" t="s">
        <v>11</v>
      </c>
    </row>
    <row r="74" spans="2:6" ht="20.100000000000001" customHeight="1">
      <c r="B74" s="4" t="s">
        <v>12</v>
      </c>
      <c r="C74" s="4" t="s">
        <v>13</v>
      </c>
      <c r="D74" s="1"/>
      <c r="E74" s="1"/>
      <c r="F74" s="1"/>
    </row>
    <row r="75" spans="2:6" ht="20.100000000000001" customHeight="1">
      <c r="B75" s="4" t="s">
        <v>14</v>
      </c>
      <c r="C75" s="4" t="s">
        <v>15</v>
      </c>
      <c r="D75" s="1"/>
      <c r="E75" s="1"/>
      <c r="F75" s="1"/>
    </row>
    <row r="76" spans="2:6" ht="20.100000000000001" customHeight="1">
      <c r="B76" s="4" t="s">
        <v>16</v>
      </c>
      <c r="C76" s="4" t="s">
        <v>17</v>
      </c>
      <c r="D76" s="1"/>
      <c r="E76" s="1"/>
      <c r="F76" s="1"/>
    </row>
    <row r="77" spans="2:6" ht="20.100000000000001" customHeight="1">
      <c r="B77" s="4" t="s">
        <v>19</v>
      </c>
      <c r="C77" s="4" t="s">
        <v>20</v>
      </c>
      <c r="D77" s="1"/>
      <c r="E77" s="1"/>
      <c r="F77" s="1"/>
    </row>
    <row r="78" spans="2:6" ht="20.100000000000001" customHeight="1">
      <c r="B78" s="4" t="s">
        <v>21</v>
      </c>
      <c r="C78" s="4" t="s">
        <v>22</v>
      </c>
      <c r="D78" s="1"/>
      <c r="E78" s="1"/>
      <c r="F78" s="1"/>
    </row>
    <row r="79" spans="2:6" ht="20.100000000000001" customHeight="1">
      <c r="B79" s="485" t="s">
        <v>23</v>
      </c>
      <c r="C79" s="485"/>
      <c r="D79" s="1"/>
      <c r="E79" s="1"/>
      <c r="F79" s="1"/>
    </row>
    <row r="80" spans="2:6" ht="20.100000000000001" customHeight="1"/>
    <row r="81" spans="2:6" ht="20.100000000000001" customHeight="1"/>
    <row r="82" spans="2:6" ht="20.100000000000001" customHeight="1">
      <c r="B82" s="3" t="s">
        <v>33</v>
      </c>
    </row>
    <row r="83" spans="2:6" ht="20.100000000000001" customHeight="1">
      <c r="B83" s="4" t="s">
        <v>7</v>
      </c>
      <c r="C83" s="4" t="s">
        <v>8</v>
      </c>
      <c r="D83" s="4" t="s">
        <v>9</v>
      </c>
      <c r="E83" s="4" t="s">
        <v>10</v>
      </c>
      <c r="F83" s="4" t="s">
        <v>11</v>
      </c>
    </row>
    <row r="84" spans="2:6" ht="20.100000000000001" customHeight="1">
      <c r="B84" s="4" t="s">
        <v>12</v>
      </c>
      <c r="C84" s="4" t="s">
        <v>13</v>
      </c>
      <c r="D84" s="1"/>
      <c r="E84" s="1"/>
      <c r="F84" s="1"/>
    </row>
    <row r="85" spans="2:6" ht="20.100000000000001" customHeight="1">
      <c r="B85" s="4" t="s">
        <v>14</v>
      </c>
      <c r="C85" s="4" t="s">
        <v>15</v>
      </c>
      <c r="D85" s="1"/>
      <c r="E85" s="1"/>
      <c r="F85" s="1"/>
    </row>
    <row r="86" spans="2:6" ht="20.100000000000001" customHeight="1">
      <c r="B86" s="4" t="s">
        <v>16</v>
      </c>
      <c r="C86" s="4" t="s">
        <v>17</v>
      </c>
      <c r="D86" s="1"/>
      <c r="E86" s="1"/>
      <c r="F86" s="1"/>
    </row>
    <row r="87" spans="2:6" ht="20.100000000000001" customHeight="1">
      <c r="B87" s="4" t="s">
        <v>19</v>
      </c>
      <c r="C87" s="4" t="s">
        <v>20</v>
      </c>
      <c r="D87" s="1"/>
      <c r="E87" s="1"/>
      <c r="F87" s="1"/>
    </row>
    <row r="88" spans="2:6" ht="20.100000000000001" customHeight="1">
      <c r="B88" s="4" t="s">
        <v>21</v>
      </c>
      <c r="C88" s="4" t="s">
        <v>22</v>
      </c>
      <c r="D88" s="1"/>
      <c r="E88" s="1"/>
      <c r="F88" s="1"/>
    </row>
    <row r="89" spans="2:6" ht="20.100000000000001" customHeight="1">
      <c r="B89" s="485" t="s">
        <v>23</v>
      </c>
      <c r="C89" s="485"/>
      <c r="D89" s="1"/>
      <c r="E89" s="1"/>
      <c r="F89" s="1"/>
    </row>
    <row r="90" spans="2:6" ht="20.100000000000001" customHeight="1"/>
    <row r="91" spans="2:6" ht="20.100000000000001" customHeight="1"/>
    <row r="92" spans="2:6" ht="20.100000000000001" customHeight="1">
      <c r="B92" s="3" t="s">
        <v>34</v>
      </c>
    </row>
    <row r="93" spans="2:6" ht="20.100000000000001" customHeight="1">
      <c r="B93" s="4" t="s">
        <v>7</v>
      </c>
      <c r="C93" s="4" t="s">
        <v>8</v>
      </c>
      <c r="D93" s="4" t="s">
        <v>9</v>
      </c>
      <c r="E93" s="4" t="s">
        <v>10</v>
      </c>
      <c r="F93" s="4" t="s">
        <v>11</v>
      </c>
    </row>
    <row r="94" spans="2:6" ht="20.100000000000001" customHeight="1">
      <c r="B94" s="4" t="s">
        <v>12</v>
      </c>
      <c r="C94" s="4" t="s">
        <v>13</v>
      </c>
      <c r="D94" s="1"/>
      <c r="E94" s="1"/>
      <c r="F94" s="1"/>
    </row>
    <row r="95" spans="2:6" ht="20.100000000000001" customHeight="1">
      <c r="B95" s="4" t="s">
        <v>14</v>
      </c>
      <c r="C95" s="4" t="s">
        <v>15</v>
      </c>
      <c r="D95" s="1"/>
      <c r="E95" s="1"/>
      <c r="F95" s="1"/>
    </row>
    <row r="96" spans="2:6" ht="20.100000000000001" customHeight="1">
      <c r="B96" s="4" t="s">
        <v>16</v>
      </c>
      <c r="C96" s="4" t="s">
        <v>17</v>
      </c>
      <c r="D96" s="1"/>
      <c r="E96" s="1"/>
      <c r="F96" s="1"/>
    </row>
    <row r="97" spans="2:6" ht="20.100000000000001" customHeight="1">
      <c r="B97" s="4" t="s">
        <v>19</v>
      </c>
      <c r="C97" s="4" t="s">
        <v>20</v>
      </c>
      <c r="D97" s="1"/>
      <c r="E97" s="1"/>
      <c r="F97" s="1"/>
    </row>
    <row r="98" spans="2:6" ht="20.100000000000001" customHeight="1">
      <c r="B98" s="4" t="s">
        <v>21</v>
      </c>
      <c r="C98" s="4" t="s">
        <v>22</v>
      </c>
      <c r="D98" s="1"/>
      <c r="E98" s="1"/>
      <c r="F98" s="1"/>
    </row>
    <row r="99" spans="2:6" ht="20.100000000000001" customHeight="1">
      <c r="B99" s="485" t="s">
        <v>23</v>
      </c>
      <c r="C99" s="485"/>
      <c r="D99" s="1"/>
      <c r="E99" s="1"/>
      <c r="F99" s="1"/>
    </row>
    <row r="100" spans="2:6" ht="20.100000000000001" customHeight="1"/>
    <row r="101" spans="2:6" ht="20.100000000000001" customHeight="1"/>
    <row r="102" spans="2:6" ht="20.100000000000001" customHeight="1">
      <c r="B102" s="3" t="s">
        <v>35</v>
      </c>
    </row>
    <row r="103" spans="2:6" ht="20.100000000000001" customHeight="1">
      <c r="B103" s="4" t="s">
        <v>7</v>
      </c>
      <c r="C103" s="4" t="s">
        <v>8</v>
      </c>
      <c r="D103" s="4" t="s">
        <v>9</v>
      </c>
      <c r="E103" s="4" t="s">
        <v>10</v>
      </c>
      <c r="F103" s="4" t="s">
        <v>11</v>
      </c>
    </row>
    <row r="104" spans="2:6" ht="20.100000000000001" customHeight="1">
      <c r="B104" s="4" t="s">
        <v>12</v>
      </c>
      <c r="C104" s="4" t="s">
        <v>13</v>
      </c>
      <c r="D104" s="1"/>
      <c r="E104" s="1"/>
      <c r="F104" s="1"/>
    </row>
    <row r="105" spans="2:6" ht="20.100000000000001" customHeight="1">
      <c r="B105" s="4" t="s">
        <v>14</v>
      </c>
      <c r="C105" s="4" t="s">
        <v>15</v>
      </c>
      <c r="D105" s="1"/>
      <c r="E105" s="1"/>
      <c r="F105" s="1"/>
    </row>
    <row r="106" spans="2:6" ht="20.100000000000001" customHeight="1">
      <c r="B106" s="4" t="s">
        <v>16</v>
      </c>
      <c r="C106" s="4" t="s">
        <v>17</v>
      </c>
      <c r="D106" s="1"/>
      <c r="E106" s="1"/>
      <c r="F106" s="1"/>
    </row>
    <row r="107" spans="2:6" ht="20.100000000000001" customHeight="1">
      <c r="B107" s="4" t="s">
        <v>19</v>
      </c>
      <c r="C107" s="4" t="s">
        <v>20</v>
      </c>
      <c r="D107" s="1"/>
      <c r="E107" s="1"/>
      <c r="F107" s="1"/>
    </row>
    <row r="108" spans="2:6" ht="20.100000000000001" customHeight="1">
      <c r="B108" s="4" t="s">
        <v>21</v>
      </c>
      <c r="C108" s="4" t="s">
        <v>22</v>
      </c>
      <c r="D108" s="1"/>
      <c r="E108" s="1"/>
      <c r="F108" s="1"/>
    </row>
    <row r="109" spans="2:6" ht="20.100000000000001" customHeight="1">
      <c r="B109" s="485" t="s">
        <v>23</v>
      </c>
      <c r="C109" s="485"/>
      <c r="D109" s="1"/>
      <c r="E109" s="1"/>
      <c r="F109" s="1"/>
    </row>
    <row r="110" spans="2:6" ht="20.100000000000001" customHeight="1"/>
    <row r="111" spans="2:6" ht="20.100000000000001" customHeight="1"/>
    <row r="112" spans="2:6" ht="20.100000000000001" customHeight="1">
      <c r="B112" s="3" t="s">
        <v>36</v>
      </c>
    </row>
    <row r="113" spans="2:6" ht="20.100000000000001" customHeight="1">
      <c r="B113" s="4" t="s">
        <v>7</v>
      </c>
      <c r="C113" s="4" t="s">
        <v>8</v>
      </c>
      <c r="D113" s="4" t="s">
        <v>9</v>
      </c>
      <c r="E113" s="4" t="s">
        <v>10</v>
      </c>
      <c r="F113" s="4" t="s">
        <v>11</v>
      </c>
    </row>
    <row r="114" spans="2:6" ht="20.100000000000001" customHeight="1">
      <c r="B114" s="4" t="s">
        <v>12</v>
      </c>
      <c r="C114" s="4" t="s">
        <v>13</v>
      </c>
      <c r="D114" s="1"/>
      <c r="E114" s="1"/>
      <c r="F114" s="1"/>
    </row>
    <row r="115" spans="2:6" ht="20.100000000000001" customHeight="1">
      <c r="B115" s="4" t="s">
        <v>14</v>
      </c>
      <c r="C115" s="4" t="s">
        <v>15</v>
      </c>
      <c r="D115" s="1"/>
      <c r="E115" s="1"/>
      <c r="F115" s="1"/>
    </row>
    <row r="116" spans="2:6" ht="20.100000000000001" customHeight="1">
      <c r="B116" s="4" t="s">
        <v>16</v>
      </c>
      <c r="C116" s="4" t="s">
        <v>17</v>
      </c>
      <c r="D116" s="1"/>
      <c r="E116" s="1"/>
      <c r="F116" s="1"/>
    </row>
    <row r="117" spans="2:6" ht="20.100000000000001" customHeight="1">
      <c r="B117" s="4" t="s">
        <v>19</v>
      </c>
      <c r="C117" s="4" t="s">
        <v>20</v>
      </c>
      <c r="D117" s="1"/>
      <c r="E117" s="1"/>
      <c r="F117" s="1"/>
    </row>
    <row r="118" spans="2:6" ht="20.100000000000001" customHeight="1">
      <c r="B118" s="4" t="s">
        <v>21</v>
      </c>
      <c r="C118" s="4" t="s">
        <v>22</v>
      </c>
      <c r="D118" s="1"/>
      <c r="E118" s="1"/>
      <c r="F118" s="1"/>
    </row>
    <row r="119" spans="2:6" ht="20.100000000000001" customHeight="1">
      <c r="B119" s="485" t="s">
        <v>23</v>
      </c>
      <c r="C119" s="485"/>
      <c r="D119" s="1"/>
      <c r="E119" s="1"/>
      <c r="F119" s="1"/>
    </row>
    <row r="120" spans="2:6" ht="20.100000000000001" customHeight="1"/>
    <row r="121" spans="2:6" ht="20.100000000000001" customHeight="1"/>
    <row r="122" spans="2:6" ht="20.100000000000001" customHeight="1">
      <c r="B122" s="3" t="s">
        <v>37</v>
      </c>
    </row>
    <row r="123" spans="2:6" ht="20.100000000000001" customHeight="1">
      <c r="B123" s="4" t="s">
        <v>7</v>
      </c>
      <c r="C123" s="4" t="s">
        <v>8</v>
      </c>
      <c r="D123" s="4" t="s">
        <v>9</v>
      </c>
      <c r="E123" s="4" t="s">
        <v>10</v>
      </c>
      <c r="F123" s="4" t="s">
        <v>11</v>
      </c>
    </row>
    <row r="124" spans="2:6" ht="20.100000000000001" customHeight="1">
      <c r="B124" s="4" t="s">
        <v>12</v>
      </c>
      <c r="C124" s="4" t="s">
        <v>13</v>
      </c>
      <c r="D124" s="1"/>
      <c r="E124" s="1"/>
      <c r="F124" s="1"/>
    </row>
    <row r="125" spans="2:6" ht="20.100000000000001" customHeight="1">
      <c r="B125" s="4" t="s">
        <v>14</v>
      </c>
      <c r="C125" s="4" t="s">
        <v>15</v>
      </c>
      <c r="D125" s="1"/>
      <c r="E125" s="1"/>
      <c r="F125" s="1"/>
    </row>
    <row r="126" spans="2:6" ht="20.100000000000001" customHeight="1">
      <c r="B126" s="4" t="s">
        <v>16</v>
      </c>
      <c r="C126" s="4" t="s">
        <v>17</v>
      </c>
      <c r="D126" s="1"/>
      <c r="E126" s="1"/>
      <c r="F126" s="1"/>
    </row>
    <row r="127" spans="2:6" ht="20.100000000000001" customHeight="1">
      <c r="B127" s="4" t="s">
        <v>19</v>
      </c>
      <c r="C127" s="4" t="s">
        <v>20</v>
      </c>
      <c r="D127" s="1"/>
      <c r="E127" s="1"/>
      <c r="F127" s="1"/>
    </row>
    <row r="128" spans="2:6" ht="20.100000000000001" customHeight="1">
      <c r="B128" s="4" t="s">
        <v>21</v>
      </c>
      <c r="C128" s="4" t="s">
        <v>22</v>
      </c>
      <c r="D128" s="1"/>
      <c r="E128" s="1"/>
      <c r="F128" s="1"/>
    </row>
    <row r="129" spans="2:6" ht="20.100000000000001" customHeight="1">
      <c r="B129" s="485" t="s">
        <v>23</v>
      </c>
      <c r="C129" s="485"/>
      <c r="D129" s="1"/>
      <c r="E129" s="1"/>
      <c r="F129" s="1"/>
    </row>
    <row r="130" spans="2:6" ht="20.100000000000001" customHeight="1"/>
    <row r="131" spans="2:6" ht="20.100000000000001" customHeight="1"/>
    <row r="132" spans="2:6" ht="20.100000000000001" customHeight="1">
      <c r="B132" s="3" t="s">
        <v>38</v>
      </c>
    </row>
    <row r="133" spans="2:6" ht="20.100000000000001" customHeight="1">
      <c r="B133" s="4" t="s">
        <v>7</v>
      </c>
      <c r="C133" s="4" t="s">
        <v>8</v>
      </c>
      <c r="D133" s="4" t="s">
        <v>9</v>
      </c>
      <c r="E133" s="4" t="s">
        <v>10</v>
      </c>
      <c r="F133" s="4" t="s">
        <v>11</v>
      </c>
    </row>
    <row r="134" spans="2:6" ht="20.100000000000001" customHeight="1">
      <c r="B134" s="4" t="s">
        <v>12</v>
      </c>
      <c r="C134" s="4" t="s">
        <v>13</v>
      </c>
      <c r="D134" s="1"/>
      <c r="E134" s="1"/>
      <c r="F134" s="1"/>
    </row>
    <row r="135" spans="2:6" ht="20.100000000000001" customHeight="1">
      <c r="B135" s="4" t="s">
        <v>14</v>
      </c>
      <c r="C135" s="4" t="s">
        <v>15</v>
      </c>
      <c r="D135" s="1"/>
      <c r="E135" s="1"/>
      <c r="F135" s="1"/>
    </row>
    <row r="136" spans="2:6" ht="20.100000000000001" customHeight="1">
      <c r="B136" s="4" t="s">
        <v>16</v>
      </c>
      <c r="C136" s="4" t="s">
        <v>17</v>
      </c>
      <c r="D136" s="1"/>
      <c r="E136" s="1"/>
      <c r="F136" s="1"/>
    </row>
    <row r="137" spans="2:6" ht="20.100000000000001" customHeight="1">
      <c r="B137" s="4" t="s">
        <v>19</v>
      </c>
      <c r="C137" s="4" t="s">
        <v>20</v>
      </c>
      <c r="D137" s="1"/>
      <c r="E137" s="1"/>
      <c r="F137" s="1"/>
    </row>
    <row r="138" spans="2:6" ht="20.100000000000001" customHeight="1">
      <c r="B138" s="4" t="s">
        <v>21</v>
      </c>
      <c r="C138" s="4" t="s">
        <v>22</v>
      </c>
      <c r="D138" s="1"/>
      <c r="E138" s="1"/>
      <c r="F138" s="1"/>
    </row>
    <row r="139" spans="2:6" ht="20.100000000000001" customHeight="1">
      <c r="B139" s="485" t="s">
        <v>23</v>
      </c>
      <c r="C139" s="485"/>
      <c r="D139" s="1"/>
      <c r="E139" s="1"/>
      <c r="F139" s="1"/>
    </row>
    <row r="140" spans="2:6" ht="20.100000000000001" customHeight="1"/>
    <row r="141" spans="2:6" ht="20.100000000000001" customHeight="1"/>
    <row r="142" spans="2:6" ht="20.100000000000001" customHeight="1"/>
    <row r="143" spans="2:6" ht="20.100000000000001" customHeight="1"/>
    <row r="144" spans="2: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sheetData>
  <mergeCells count="14">
    <mergeCell ref="B59:C59"/>
    <mergeCell ref="B9:C9"/>
    <mergeCell ref="B19:C19"/>
    <mergeCell ref="B29:C29"/>
    <mergeCell ref="B39:C39"/>
    <mergeCell ref="B49:C49"/>
    <mergeCell ref="B129:C129"/>
    <mergeCell ref="B139:C139"/>
    <mergeCell ref="B69:C69"/>
    <mergeCell ref="B79:C79"/>
    <mergeCell ref="B89:C89"/>
    <mergeCell ref="B99:C99"/>
    <mergeCell ref="B109:C109"/>
    <mergeCell ref="B119:C119"/>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4" sqref="N24"/>
    </sheetView>
  </sheetViews>
  <sheetFormatPr defaultColWidth="11" defaultRowHeight="15.6"/>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0"/>
  <sheetViews>
    <sheetView topLeftCell="A7" workbookViewId="0">
      <selection activeCell="C45" sqref="C45:H45"/>
    </sheetView>
  </sheetViews>
  <sheetFormatPr defaultColWidth="11" defaultRowHeight="15.6"/>
  <cols>
    <col min="3" max="3" width="19" bestFit="1" customWidth="1"/>
    <col min="8" max="8" width="11.36328125" bestFit="1" customWidth="1"/>
    <col min="12" max="12" width="19" bestFit="1" customWidth="1"/>
    <col min="14" max="16" width="11.36328125" bestFit="1" customWidth="1"/>
    <col min="17" max="17" width="12.453125" bestFit="1" customWidth="1"/>
  </cols>
  <sheetData>
    <row r="1" spans="2:18" ht="20.100000000000001" customHeight="1"/>
    <row r="2" spans="2:18" ht="20.100000000000001" customHeight="1">
      <c r="D2" s="240" t="str">
        <f>E6</f>
        <v>第一年</v>
      </c>
      <c r="E2" s="240" t="str">
        <f t="shared" ref="E2:F2" si="0">F6</f>
        <v>第二年</v>
      </c>
      <c r="F2" s="240" t="str">
        <f t="shared" si="0"/>
        <v>第三年</v>
      </c>
    </row>
    <row r="3" spans="2:18" ht="20.100000000000001" customHeight="1">
      <c r="D3" s="247">
        <v>0.4</v>
      </c>
      <c r="E3" s="247">
        <v>0.3</v>
      </c>
      <c r="F3" s="247">
        <v>0.3</v>
      </c>
    </row>
    <row r="4" spans="2:18" ht="20.100000000000001" customHeight="1"/>
    <row r="5" spans="2:18" ht="30" customHeight="1">
      <c r="B5" s="201" t="str">
        <f>可研资料整理!C3</f>
        <v>化工产业板块雨水泵站及管网工程</v>
      </c>
      <c r="K5" s="201" t="str">
        <f>可研资料整理!C8</f>
        <v>特勤消防站项目</v>
      </c>
    </row>
    <row r="6" spans="2:18" ht="30" customHeight="1">
      <c r="B6" s="492" t="s">
        <v>7</v>
      </c>
      <c r="C6" s="492" t="s">
        <v>39</v>
      </c>
      <c r="D6" s="492"/>
      <c r="E6" s="234" t="s">
        <v>40</v>
      </c>
      <c r="F6" s="234" t="s">
        <v>41</v>
      </c>
      <c r="G6" s="234" t="s">
        <v>405</v>
      </c>
      <c r="H6" s="234" t="s">
        <v>42</v>
      </c>
      <c r="I6" s="492" t="s">
        <v>43</v>
      </c>
      <c r="J6" s="189"/>
      <c r="K6" s="492" t="s">
        <v>7</v>
      </c>
      <c r="L6" s="492" t="s">
        <v>39</v>
      </c>
      <c r="M6" s="492"/>
      <c r="N6" s="234" t="s">
        <v>40</v>
      </c>
      <c r="O6" s="234" t="s">
        <v>41</v>
      </c>
      <c r="P6" s="234" t="s">
        <v>405</v>
      </c>
      <c r="Q6" s="234" t="s">
        <v>42</v>
      </c>
      <c r="R6" s="492" t="s">
        <v>43</v>
      </c>
    </row>
    <row r="7" spans="2:18" ht="30" customHeight="1">
      <c r="B7" s="492"/>
      <c r="C7" s="492"/>
      <c r="D7" s="492"/>
      <c r="E7" s="33">
        <f>D3</f>
        <v>0.4</v>
      </c>
      <c r="F7" s="33">
        <f t="shared" ref="F7:G7" si="1">E3</f>
        <v>0.3</v>
      </c>
      <c r="G7" s="33">
        <f t="shared" si="1"/>
        <v>0.3</v>
      </c>
      <c r="H7" s="33">
        <v>1</v>
      </c>
      <c r="I7" s="492"/>
      <c r="J7" s="189"/>
      <c r="K7" s="492"/>
      <c r="L7" s="492"/>
      <c r="M7" s="492"/>
      <c r="N7" s="33">
        <f>D3</f>
        <v>0.4</v>
      </c>
      <c r="O7" s="33">
        <f t="shared" ref="O7:P7" si="2">E3</f>
        <v>0.3</v>
      </c>
      <c r="P7" s="33">
        <f t="shared" si="2"/>
        <v>0.3</v>
      </c>
      <c r="Q7" s="33">
        <v>1</v>
      </c>
      <c r="R7" s="492"/>
    </row>
    <row r="8" spans="2:18" ht="30" customHeight="1">
      <c r="B8" s="234" t="s">
        <v>12</v>
      </c>
      <c r="C8" s="492" t="s">
        <v>44</v>
      </c>
      <c r="D8" s="492"/>
      <c r="E8" s="238"/>
      <c r="F8" s="238"/>
      <c r="G8" s="238"/>
      <c r="H8" s="238">
        <f ca="1">H9+H12</f>
        <v>11264.823553822936</v>
      </c>
      <c r="I8" s="29"/>
      <c r="J8" s="249"/>
      <c r="K8" s="234" t="s">
        <v>12</v>
      </c>
      <c r="L8" s="492" t="s">
        <v>44</v>
      </c>
      <c r="M8" s="492"/>
      <c r="N8" s="238"/>
      <c r="O8" s="238"/>
      <c r="P8" s="238"/>
      <c r="Q8" s="238">
        <f ca="1">Q9+Q12</f>
        <v>3076.656086519115</v>
      </c>
      <c r="R8" s="29"/>
    </row>
    <row r="9" spans="2:18" ht="30" customHeight="1">
      <c r="B9" s="234">
        <v>1</v>
      </c>
      <c r="C9" s="492" t="s">
        <v>45</v>
      </c>
      <c r="D9" s="492"/>
      <c r="E9" s="238"/>
      <c r="F9" s="238"/>
      <c r="G9" s="238"/>
      <c r="H9" s="238">
        <f ca="1">可研资料整理!K3*'2-1投资计划表--分子项'!I9</f>
        <v>2252.9647107645874</v>
      </c>
      <c r="I9" s="493">
        <v>0.2</v>
      </c>
      <c r="J9" s="250"/>
      <c r="K9" s="234">
        <v>1</v>
      </c>
      <c r="L9" s="492" t="s">
        <v>45</v>
      </c>
      <c r="M9" s="492"/>
      <c r="N9" s="238"/>
      <c r="O9" s="238"/>
      <c r="P9" s="238"/>
      <c r="Q9" s="238">
        <f ca="1">R9*可研资料整理!K8</f>
        <v>615.331217303823</v>
      </c>
      <c r="R9" s="493">
        <v>0.2</v>
      </c>
    </row>
    <row r="10" spans="2:18" ht="30" customHeight="1">
      <c r="B10" s="234">
        <v>1.1000000000000001</v>
      </c>
      <c r="C10" s="234" t="s">
        <v>46</v>
      </c>
      <c r="D10" s="33">
        <f>'2投资计划表'!E5</f>
        <v>0.15</v>
      </c>
      <c r="E10" s="238"/>
      <c r="F10" s="238"/>
      <c r="G10" s="238"/>
      <c r="H10" s="238"/>
      <c r="I10" s="493"/>
      <c r="J10" s="250"/>
      <c r="K10" s="234">
        <v>1.1000000000000001</v>
      </c>
      <c r="L10" s="234" t="s">
        <v>46</v>
      </c>
      <c r="M10" s="33">
        <f>D10</f>
        <v>0.15</v>
      </c>
      <c r="N10" s="238"/>
      <c r="O10" s="238"/>
      <c r="P10" s="238"/>
      <c r="Q10" s="238"/>
      <c r="R10" s="493"/>
    </row>
    <row r="11" spans="2:18" ht="30" customHeight="1">
      <c r="B11" s="234">
        <v>1.2</v>
      </c>
      <c r="C11" s="234" t="s">
        <v>47</v>
      </c>
      <c r="D11" s="33">
        <f>'2投资计划表'!E6</f>
        <v>0.85</v>
      </c>
      <c r="E11" s="238"/>
      <c r="F11" s="238"/>
      <c r="G11" s="238"/>
      <c r="H11" s="238"/>
      <c r="I11" s="493"/>
      <c r="J11" s="250"/>
      <c r="K11" s="234">
        <v>1.2</v>
      </c>
      <c r="L11" s="234" t="s">
        <v>47</v>
      </c>
      <c r="M11" s="33">
        <f>D11</f>
        <v>0.85</v>
      </c>
      <c r="N11" s="238"/>
      <c r="O11" s="238"/>
      <c r="P11" s="238"/>
      <c r="Q11" s="238"/>
      <c r="R11" s="493"/>
    </row>
    <row r="12" spans="2:18" ht="30" customHeight="1">
      <c r="B12" s="234">
        <v>2</v>
      </c>
      <c r="C12" s="492" t="s">
        <v>48</v>
      </c>
      <c r="D12" s="492"/>
      <c r="E12" s="153"/>
      <c r="F12" s="153"/>
      <c r="G12" s="153"/>
      <c r="H12" s="153">
        <f ca="1">H13+H14</f>
        <v>9011.8588430583495</v>
      </c>
      <c r="I12" s="494">
        <f ca="1">H12/H8</f>
        <v>0.8</v>
      </c>
      <c r="J12" s="251"/>
      <c r="K12" s="234">
        <v>2</v>
      </c>
      <c r="L12" s="492" t="s">
        <v>48</v>
      </c>
      <c r="M12" s="492"/>
      <c r="N12" s="153"/>
      <c r="O12" s="153"/>
      <c r="P12" s="153"/>
      <c r="Q12" s="153">
        <f ca="1">Q13+Q14</f>
        <v>2461.324869215292</v>
      </c>
      <c r="R12" s="494">
        <f ca="1">Q12/Q8</f>
        <v>0.8</v>
      </c>
    </row>
    <row r="13" spans="2:18" ht="30" customHeight="1">
      <c r="B13" s="234">
        <v>2.1</v>
      </c>
      <c r="C13" s="492" t="s">
        <v>49</v>
      </c>
      <c r="D13" s="492"/>
      <c r="E13" s="238">
        <f ca="1">H13*E7</f>
        <v>3309.2901156941648</v>
      </c>
      <c r="F13" s="238">
        <f ca="1">H13*F7</f>
        <v>2481.9675867706233</v>
      </c>
      <c r="G13" s="238">
        <f ca="1">H13*G7</f>
        <v>2481.9675867706233</v>
      </c>
      <c r="H13" s="238">
        <f ca="1">可研资料整理!I3-'2-1投资计划表--分子项'!H9</f>
        <v>8273.2252892354118</v>
      </c>
      <c r="I13" s="494"/>
      <c r="J13" s="251"/>
      <c r="K13" s="234">
        <v>2.1</v>
      </c>
      <c r="L13" s="492" t="s">
        <v>49</v>
      </c>
      <c r="M13" s="492"/>
      <c r="N13" s="238">
        <f ca="1">Q13*N7</f>
        <v>903.83551307847085</v>
      </c>
      <c r="O13" s="238">
        <f ca="1">Q13*O7</f>
        <v>677.87663480885305</v>
      </c>
      <c r="P13" s="238">
        <f ca="1">Q13*P7</f>
        <v>677.87663480885305</v>
      </c>
      <c r="Q13" s="238">
        <f ca="1">可研资料整理!I8-'2-1投资计划表--分子项'!Q9</f>
        <v>2259.5887826961771</v>
      </c>
      <c r="R13" s="494"/>
    </row>
    <row r="14" spans="2:18" ht="30" customHeight="1">
      <c r="B14" s="234">
        <v>2.2000000000000002</v>
      </c>
      <c r="C14" s="234" t="s">
        <v>22</v>
      </c>
      <c r="D14" s="192">
        <f>'2投资计划表'!D16</f>
        <v>5.5799999999999995E-2</v>
      </c>
      <c r="E14" s="238">
        <f ca="1">E13*D14/2</f>
        <v>92.329194227867191</v>
      </c>
      <c r="F14" s="238">
        <f ca="1">(E13+F13/2)*D14</f>
        <v>253.90528412663477</v>
      </c>
      <c r="G14" s="238">
        <f ca="1">(E13+F13+G13/2)*D14</f>
        <v>392.39907546843551</v>
      </c>
      <c r="H14" s="238">
        <f ca="1">E14+F14+G14</f>
        <v>738.63355382293753</v>
      </c>
      <c r="I14" s="494"/>
      <c r="J14" s="251"/>
      <c r="K14" s="234">
        <v>2.2000000000000002</v>
      </c>
      <c r="L14" s="234" t="s">
        <v>22</v>
      </c>
      <c r="M14" s="192">
        <f>D14</f>
        <v>5.5799999999999995E-2</v>
      </c>
      <c r="N14" s="238">
        <f ca="1">N13*M14/2</f>
        <v>25.217010814889335</v>
      </c>
      <c r="O14" s="238">
        <f ca="1">(N13+O13/2)*M14</f>
        <v>69.346779740945678</v>
      </c>
      <c r="P14" s="238">
        <f ca="1">(N13+O13+P13/2)*M14</f>
        <v>107.17229596327967</v>
      </c>
      <c r="Q14" s="238">
        <f ca="1">N14+O14+P14</f>
        <v>201.73608651911468</v>
      </c>
      <c r="R14" s="494"/>
    </row>
    <row r="15" spans="2:18" ht="30" customHeight="1"/>
    <row r="16" spans="2:18" ht="30" customHeight="1">
      <c r="B16" s="201" t="str">
        <f>可研资料整理!C4</f>
        <v>新规划支路道路及管网建设工程</v>
      </c>
      <c r="K16" s="201" t="str">
        <f>可研资料整理!C9</f>
        <v>双创园区标准化厂房（一期）项目</v>
      </c>
    </row>
    <row r="17" spans="2:18" ht="30" customHeight="1">
      <c r="B17" s="492" t="s">
        <v>7</v>
      </c>
      <c r="C17" s="492" t="s">
        <v>39</v>
      </c>
      <c r="D17" s="492"/>
      <c r="E17" s="234" t="s">
        <v>40</v>
      </c>
      <c r="F17" s="234" t="s">
        <v>41</v>
      </c>
      <c r="G17" s="234" t="s">
        <v>405</v>
      </c>
      <c r="H17" s="234" t="s">
        <v>42</v>
      </c>
      <c r="I17" s="492" t="s">
        <v>43</v>
      </c>
      <c r="J17" s="189"/>
      <c r="K17" s="492" t="s">
        <v>7</v>
      </c>
      <c r="L17" s="492" t="s">
        <v>39</v>
      </c>
      <c r="M17" s="492"/>
      <c r="N17" s="234" t="s">
        <v>40</v>
      </c>
      <c r="O17" s="234" t="s">
        <v>41</v>
      </c>
      <c r="P17" s="234" t="s">
        <v>405</v>
      </c>
      <c r="Q17" s="234" t="s">
        <v>42</v>
      </c>
      <c r="R17" s="492" t="s">
        <v>43</v>
      </c>
    </row>
    <row r="18" spans="2:18" ht="30" customHeight="1">
      <c r="B18" s="492"/>
      <c r="C18" s="492"/>
      <c r="D18" s="492"/>
      <c r="E18" s="33">
        <f>D3</f>
        <v>0.4</v>
      </c>
      <c r="F18" s="33">
        <f t="shared" ref="F18:G18" si="3">E3</f>
        <v>0.3</v>
      </c>
      <c r="G18" s="33">
        <f t="shared" si="3"/>
        <v>0.3</v>
      </c>
      <c r="H18" s="33">
        <v>1</v>
      </c>
      <c r="I18" s="492"/>
      <c r="J18" s="249"/>
      <c r="K18" s="492"/>
      <c r="L18" s="492"/>
      <c r="M18" s="492"/>
      <c r="N18" s="33">
        <f>D3</f>
        <v>0.4</v>
      </c>
      <c r="O18" s="33">
        <f t="shared" ref="O18:P18" si="4">E3</f>
        <v>0.3</v>
      </c>
      <c r="P18" s="33">
        <f t="shared" si="4"/>
        <v>0.3</v>
      </c>
      <c r="Q18" s="33">
        <v>1</v>
      </c>
      <c r="R18" s="492"/>
    </row>
    <row r="19" spans="2:18" ht="30" customHeight="1">
      <c r="B19" s="234" t="s">
        <v>12</v>
      </c>
      <c r="C19" s="492" t="s">
        <v>44</v>
      </c>
      <c r="D19" s="492"/>
      <c r="E19" s="238"/>
      <c r="F19" s="238"/>
      <c r="G19" s="238"/>
      <c r="H19" s="238">
        <f ca="1">H23+H20</f>
        <v>4125.5093058350103</v>
      </c>
      <c r="I19" s="29"/>
      <c r="J19" s="250"/>
      <c r="K19" s="234" t="s">
        <v>12</v>
      </c>
      <c r="L19" s="492" t="s">
        <v>44</v>
      </c>
      <c r="M19" s="492"/>
      <c r="N19" s="238"/>
      <c r="O19" s="238"/>
      <c r="P19" s="238"/>
      <c r="Q19" s="238">
        <f ca="1">Q20+Q23</f>
        <v>12643.364361167001</v>
      </c>
      <c r="R19" s="29"/>
    </row>
    <row r="20" spans="2:18" ht="30" customHeight="1">
      <c r="B20" s="234">
        <v>1</v>
      </c>
      <c r="C20" s="492" t="s">
        <v>45</v>
      </c>
      <c r="D20" s="492"/>
      <c r="E20" s="238"/>
      <c r="F20" s="238"/>
      <c r="G20" s="238"/>
      <c r="H20" s="238">
        <f ca="1">可研资料整理!K4*I20</f>
        <v>825.10186116700208</v>
      </c>
      <c r="I20" s="493">
        <v>0.2</v>
      </c>
      <c r="J20" s="250"/>
      <c r="K20" s="234">
        <v>1</v>
      </c>
      <c r="L20" s="492" t="s">
        <v>45</v>
      </c>
      <c r="M20" s="492"/>
      <c r="N20" s="238"/>
      <c r="O20" s="238"/>
      <c r="P20" s="238"/>
      <c r="Q20" s="238">
        <f ca="1">R20*可研资料整理!K9</f>
        <v>2528.6728722334005</v>
      </c>
      <c r="R20" s="493">
        <v>0.2</v>
      </c>
    </row>
    <row r="21" spans="2:18" ht="30" customHeight="1">
      <c r="B21" s="234">
        <v>1.1000000000000001</v>
      </c>
      <c r="C21" s="234" t="s">
        <v>46</v>
      </c>
      <c r="D21" s="33">
        <f>D10</f>
        <v>0.15</v>
      </c>
      <c r="E21" s="238"/>
      <c r="F21" s="238"/>
      <c r="G21" s="238"/>
      <c r="H21" s="238"/>
      <c r="I21" s="493"/>
      <c r="J21" s="250"/>
      <c r="K21" s="234">
        <v>1.1000000000000001</v>
      </c>
      <c r="L21" s="234" t="s">
        <v>46</v>
      </c>
      <c r="M21" s="33">
        <f>M10</f>
        <v>0.15</v>
      </c>
      <c r="N21" s="238"/>
      <c r="O21" s="238"/>
      <c r="P21" s="238"/>
      <c r="Q21" s="238"/>
      <c r="R21" s="493"/>
    </row>
    <row r="22" spans="2:18" ht="30" customHeight="1">
      <c r="B22" s="234">
        <v>1.2</v>
      </c>
      <c r="C22" s="234" t="s">
        <v>47</v>
      </c>
      <c r="D22" s="33">
        <f>D11</f>
        <v>0.85</v>
      </c>
      <c r="E22" s="238"/>
      <c r="F22" s="238"/>
      <c r="G22" s="238"/>
      <c r="H22" s="238"/>
      <c r="I22" s="493"/>
      <c r="J22" s="251"/>
      <c r="K22" s="234">
        <v>1.2</v>
      </c>
      <c r="L22" s="234" t="s">
        <v>47</v>
      </c>
      <c r="M22" s="33">
        <f>M11</f>
        <v>0.85</v>
      </c>
      <c r="N22" s="238"/>
      <c r="O22" s="238"/>
      <c r="P22" s="238"/>
      <c r="Q22" s="238"/>
      <c r="R22" s="493"/>
    </row>
    <row r="23" spans="2:18" ht="30" customHeight="1">
      <c r="B23" s="234">
        <v>2</v>
      </c>
      <c r="C23" s="492" t="s">
        <v>48</v>
      </c>
      <c r="D23" s="492"/>
      <c r="E23" s="153"/>
      <c r="F23" s="153"/>
      <c r="G23" s="153"/>
      <c r="H23" s="153">
        <f ca="1">H24+H25</f>
        <v>3300.4074446680079</v>
      </c>
      <c r="I23" s="494">
        <f ca="1">H23/H19</f>
        <v>0.79999999999999993</v>
      </c>
      <c r="J23" s="251"/>
      <c r="K23" s="234">
        <v>2</v>
      </c>
      <c r="L23" s="492" t="s">
        <v>48</v>
      </c>
      <c r="M23" s="492"/>
      <c r="N23" s="153"/>
      <c r="O23" s="153"/>
      <c r="P23" s="153"/>
      <c r="Q23" s="153">
        <f ca="1">Q24+Q25</f>
        <v>10114.6914889336</v>
      </c>
      <c r="R23" s="494">
        <f ca="1">Q23/Q19</f>
        <v>0.79999999999999993</v>
      </c>
    </row>
    <row r="24" spans="2:18" ht="30" customHeight="1">
      <c r="B24" s="234">
        <v>2.1</v>
      </c>
      <c r="C24" s="492" t="s">
        <v>49</v>
      </c>
      <c r="D24" s="492"/>
      <c r="E24" s="238">
        <f ca="1">H24*E18</f>
        <v>1211.9592555331992</v>
      </c>
      <c r="F24" s="238">
        <f ca="1">H24*F18</f>
        <v>908.96944164989941</v>
      </c>
      <c r="G24" s="238">
        <f ca="1">H24*G18</f>
        <v>908.96944164989941</v>
      </c>
      <c r="H24" s="238">
        <f ca="1">可研资料整理!I4-'2-1投资计划表--分子项'!H20</f>
        <v>3029.898138832998</v>
      </c>
      <c r="I24" s="494"/>
      <c r="J24" s="251"/>
      <c r="K24" s="234">
        <v>2.1</v>
      </c>
      <c r="L24" s="492" t="s">
        <v>49</v>
      </c>
      <c r="M24" s="492"/>
      <c r="N24" s="238">
        <f ca="1">Q24*N18</f>
        <v>3714.2668511066399</v>
      </c>
      <c r="O24" s="238">
        <f ca="1">Q24*O18</f>
        <v>2785.7001383299798</v>
      </c>
      <c r="P24" s="238">
        <f ca="1">Q24*P18</f>
        <v>2785.7001383299798</v>
      </c>
      <c r="Q24" s="238">
        <f ca="1">可研资料整理!I9-'2-1投资计划表--分子项'!Q20</f>
        <v>9285.6671277665992</v>
      </c>
      <c r="R24" s="494"/>
    </row>
    <row r="25" spans="2:18" ht="30" customHeight="1">
      <c r="B25" s="234">
        <v>2.2000000000000002</v>
      </c>
      <c r="C25" s="234" t="s">
        <v>22</v>
      </c>
      <c r="D25" s="192">
        <f>D14</f>
        <v>5.5799999999999995E-2</v>
      </c>
      <c r="E25" s="238">
        <f ca="1">E24*D25/2</f>
        <v>33.813663229376253</v>
      </c>
      <c r="F25" s="238">
        <f ca="1">(E24+F24/2)*D25</f>
        <v>92.987573880784709</v>
      </c>
      <c r="G25" s="238">
        <f ca="1">(E24+F24+G24/2)*D25</f>
        <v>143.70806872484911</v>
      </c>
      <c r="H25" s="238">
        <f ca="1">E25+F25+G25</f>
        <v>270.50930583501008</v>
      </c>
      <c r="I25" s="494"/>
      <c r="K25" s="234">
        <v>2.2000000000000002</v>
      </c>
      <c r="L25" s="234" t="s">
        <v>22</v>
      </c>
      <c r="M25" s="192">
        <f>M14</f>
        <v>5.5799999999999995E-2</v>
      </c>
      <c r="N25" s="238">
        <f ca="1">N24*M25/2</f>
        <v>103.62804514587525</v>
      </c>
      <c r="O25" s="238">
        <f ca="1">(N24+O24/2)*M25</f>
        <v>284.97712415115694</v>
      </c>
      <c r="P25" s="238">
        <f ca="1">(N24+O24+P24/2)*M25</f>
        <v>440.41919186996978</v>
      </c>
      <c r="Q25" s="238">
        <f ca="1">N25+O25+P25</f>
        <v>829.02436116700198</v>
      </c>
      <c r="R25" s="494"/>
    </row>
    <row r="26" spans="2:18" ht="30" customHeight="1"/>
    <row r="27" spans="2:18" ht="30" customHeight="1">
      <c r="B27" s="201" t="str">
        <f>可研资料整理!C5</f>
        <v>新规划支二路道路及管网建设工程</v>
      </c>
      <c r="K27" s="201" t="str">
        <f>可研资料整理!C10</f>
        <v>双创园区标准化厂房（二期）项目</v>
      </c>
    </row>
    <row r="28" spans="2:18" ht="30" customHeight="1">
      <c r="B28" s="492" t="s">
        <v>7</v>
      </c>
      <c r="C28" s="492" t="s">
        <v>39</v>
      </c>
      <c r="D28" s="492"/>
      <c r="E28" s="234" t="s">
        <v>40</v>
      </c>
      <c r="F28" s="234" t="s">
        <v>41</v>
      </c>
      <c r="G28" s="234" t="s">
        <v>405</v>
      </c>
      <c r="H28" s="234" t="s">
        <v>42</v>
      </c>
      <c r="I28" s="492" t="s">
        <v>43</v>
      </c>
      <c r="J28" s="189"/>
      <c r="K28" s="492" t="s">
        <v>7</v>
      </c>
      <c r="L28" s="492" t="s">
        <v>39</v>
      </c>
      <c r="M28" s="492"/>
      <c r="N28" s="234" t="s">
        <v>40</v>
      </c>
      <c r="O28" s="234" t="s">
        <v>41</v>
      </c>
      <c r="P28" s="234" t="s">
        <v>405</v>
      </c>
      <c r="Q28" s="234" t="s">
        <v>42</v>
      </c>
      <c r="R28" s="492" t="s">
        <v>43</v>
      </c>
    </row>
    <row r="29" spans="2:18" ht="30" customHeight="1">
      <c r="B29" s="492"/>
      <c r="C29" s="492"/>
      <c r="D29" s="492"/>
      <c r="E29" s="33">
        <f>D3</f>
        <v>0.4</v>
      </c>
      <c r="F29" s="33">
        <f t="shared" ref="F29:G29" si="5">E3</f>
        <v>0.3</v>
      </c>
      <c r="G29" s="33">
        <f t="shared" si="5"/>
        <v>0.3</v>
      </c>
      <c r="H29" s="33">
        <v>1</v>
      </c>
      <c r="I29" s="492"/>
      <c r="J29" s="249"/>
      <c r="K29" s="492"/>
      <c r="L29" s="492"/>
      <c r="M29" s="492"/>
      <c r="N29" s="33">
        <f>D3</f>
        <v>0.4</v>
      </c>
      <c r="O29" s="33">
        <f t="shared" ref="O29:P29" si="6">E3</f>
        <v>0.3</v>
      </c>
      <c r="P29" s="33">
        <f t="shared" si="6"/>
        <v>0.3</v>
      </c>
      <c r="Q29" s="33">
        <v>1</v>
      </c>
      <c r="R29" s="492"/>
    </row>
    <row r="30" spans="2:18" ht="30" customHeight="1">
      <c r="B30" s="234" t="s">
        <v>12</v>
      </c>
      <c r="C30" s="492" t="s">
        <v>44</v>
      </c>
      <c r="D30" s="492"/>
      <c r="E30" s="238"/>
      <c r="F30" s="238"/>
      <c r="G30" s="238"/>
      <c r="H30" s="238">
        <f ca="1">H31+H34</f>
        <v>2133.9317278672033</v>
      </c>
      <c r="I30" s="29"/>
      <c r="J30" s="250"/>
      <c r="K30" s="234" t="s">
        <v>12</v>
      </c>
      <c r="L30" s="492" t="s">
        <v>44</v>
      </c>
      <c r="M30" s="492"/>
      <c r="N30" s="238"/>
      <c r="O30" s="238"/>
      <c r="P30" s="238"/>
      <c r="Q30" s="238">
        <f ca="1">Q31+Q34</f>
        <v>17608.187399396378</v>
      </c>
      <c r="R30" s="29"/>
    </row>
    <row r="31" spans="2:18" ht="30" customHeight="1">
      <c r="B31" s="234">
        <v>1</v>
      </c>
      <c r="C31" s="492" t="s">
        <v>45</v>
      </c>
      <c r="D31" s="492"/>
      <c r="E31" s="238"/>
      <c r="F31" s="238"/>
      <c r="G31" s="238"/>
      <c r="H31" s="238">
        <f ca="1">可研资料整理!K5*'2-1投资计划表--分子项'!I31</f>
        <v>426.78634557344071</v>
      </c>
      <c r="I31" s="493">
        <v>0.2</v>
      </c>
      <c r="J31" s="250"/>
      <c r="K31" s="234">
        <v>1</v>
      </c>
      <c r="L31" s="492" t="s">
        <v>45</v>
      </c>
      <c r="M31" s="492"/>
      <c r="N31" s="238"/>
      <c r="O31" s="238"/>
      <c r="P31" s="238"/>
      <c r="Q31" s="238">
        <f ca="1">R31*可研资料整理!K10</f>
        <v>3521.6374798792758</v>
      </c>
      <c r="R31" s="493">
        <v>0.2</v>
      </c>
    </row>
    <row r="32" spans="2:18" ht="30" customHeight="1">
      <c r="B32" s="234">
        <v>1.1000000000000001</v>
      </c>
      <c r="C32" s="234" t="s">
        <v>46</v>
      </c>
      <c r="D32" s="33">
        <f>D21</f>
        <v>0.15</v>
      </c>
      <c r="E32" s="238"/>
      <c r="F32" s="238"/>
      <c r="G32" s="238"/>
      <c r="H32" s="238"/>
      <c r="I32" s="493"/>
      <c r="J32" s="250"/>
      <c r="K32" s="234">
        <v>1.1000000000000001</v>
      </c>
      <c r="L32" s="234" t="s">
        <v>46</v>
      </c>
      <c r="M32" s="33">
        <f>M21</f>
        <v>0.15</v>
      </c>
      <c r="N32" s="238"/>
      <c r="O32" s="238"/>
      <c r="P32" s="238"/>
      <c r="Q32" s="238"/>
      <c r="R32" s="493"/>
    </row>
    <row r="33" spans="2:18" ht="30" customHeight="1">
      <c r="B33" s="234">
        <v>1.2</v>
      </c>
      <c r="C33" s="234" t="s">
        <v>47</v>
      </c>
      <c r="D33" s="33">
        <f>D22</f>
        <v>0.85</v>
      </c>
      <c r="E33" s="238"/>
      <c r="F33" s="238"/>
      <c r="G33" s="238"/>
      <c r="H33" s="238"/>
      <c r="I33" s="493"/>
      <c r="J33" s="251"/>
      <c r="K33" s="234">
        <v>1.2</v>
      </c>
      <c r="L33" s="234" t="s">
        <v>47</v>
      </c>
      <c r="M33" s="33">
        <f>M22</f>
        <v>0.85</v>
      </c>
      <c r="N33" s="238"/>
      <c r="O33" s="238"/>
      <c r="P33" s="238"/>
      <c r="Q33" s="238"/>
      <c r="R33" s="493"/>
    </row>
    <row r="34" spans="2:18" ht="30" customHeight="1">
      <c r="B34" s="234">
        <v>2</v>
      </c>
      <c r="C34" s="492" t="s">
        <v>48</v>
      </c>
      <c r="D34" s="492"/>
      <c r="E34" s="153"/>
      <c r="F34" s="153"/>
      <c r="G34" s="153"/>
      <c r="H34" s="153">
        <f ca="1">H35+H36</f>
        <v>1707.1453822937624</v>
      </c>
      <c r="I34" s="494">
        <f ca="1">H34/H30</f>
        <v>0.79999999999999982</v>
      </c>
      <c r="J34" s="251"/>
      <c r="K34" s="234">
        <v>2</v>
      </c>
      <c r="L34" s="492" t="s">
        <v>48</v>
      </c>
      <c r="M34" s="492"/>
      <c r="N34" s="153"/>
      <c r="O34" s="153"/>
      <c r="P34" s="153"/>
      <c r="Q34" s="153">
        <f ca="1">Q35+Q36</f>
        <v>14086.549919517103</v>
      </c>
      <c r="R34" s="494">
        <f ca="1">Q34/Q30</f>
        <v>0.8</v>
      </c>
    </row>
    <row r="35" spans="2:18" ht="30" customHeight="1">
      <c r="B35" s="234">
        <v>2.1</v>
      </c>
      <c r="C35" s="492" t="s">
        <v>49</v>
      </c>
      <c r="D35" s="492"/>
      <c r="E35" s="238">
        <f ca="1">H35*E29</f>
        <v>626.88946177062371</v>
      </c>
      <c r="F35" s="238">
        <f ca="1">H35*F29</f>
        <v>470.16709632796778</v>
      </c>
      <c r="G35" s="238">
        <f ca="1">H35*G29</f>
        <v>470.16709632796778</v>
      </c>
      <c r="H35" s="238">
        <f ca="1">可研资料整理!I5-'2-1投资计划表--分子项'!H31</f>
        <v>1567.2236544265593</v>
      </c>
      <c r="I35" s="494"/>
      <c r="J35" s="251"/>
      <c r="K35" s="234">
        <v>2.1</v>
      </c>
      <c r="L35" s="492" t="s">
        <v>49</v>
      </c>
      <c r="M35" s="492"/>
      <c r="N35" s="238">
        <f ca="1">Q35*N29</f>
        <v>5172.7930080482902</v>
      </c>
      <c r="O35" s="238">
        <f ca="1">Q35*O29</f>
        <v>3879.5947560362169</v>
      </c>
      <c r="P35" s="238">
        <f ca="1">Q35*P29</f>
        <v>3879.5947560362169</v>
      </c>
      <c r="Q35" s="238">
        <f ca="1">可研资料整理!I10-'2-1投资计划表--分子项'!Q31</f>
        <v>12931.982520120724</v>
      </c>
      <c r="R35" s="494"/>
    </row>
    <row r="36" spans="2:18" ht="30" customHeight="1">
      <c r="B36" s="234">
        <v>2.2000000000000002</v>
      </c>
      <c r="C36" s="234" t="s">
        <v>22</v>
      </c>
      <c r="D36" s="192">
        <f>D25</f>
        <v>5.5799999999999995E-2</v>
      </c>
      <c r="E36" s="238">
        <f ca="1">E35*D36/2</f>
        <v>17.4902159834004</v>
      </c>
      <c r="F36" s="238">
        <f ca="1">(E35+F35/2)*D36</f>
        <v>48.0980939543511</v>
      </c>
      <c r="G36" s="238">
        <f ca="1">(E35+F35+G35/2)*D36</f>
        <v>74.333417929451713</v>
      </c>
      <c r="H36" s="238">
        <f ca="1">E36+F36+G36</f>
        <v>139.92172786720323</v>
      </c>
      <c r="I36" s="494"/>
      <c r="K36" s="234">
        <v>2.2000000000000002</v>
      </c>
      <c r="L36" s="234" t="s">
        <v>22</v>
      </c>
      <c r="M36" s="192">
        <f>M25</f>
        <v>5.5799999999999995E-2</v>
      </c>
      <c r="N36" s="238">
        <f ca="1">N35*M36/2</f>
        <v>144.32092492454728</v>
      </c>
      <c r="O36" s="238">
        <f ca="1">(N35+O35/2)*M36</f>
        <v>396.882543542505</v>
      </c>
      <c r="P36" s="238">
        <f ca="1">(N35+O35+P35/2)*M36</f>
        <v>613.36393092932599</v>
      </c>
      <c r="Q36" s="238">
        <f ca="1">N36+O36+P36</f>
        <v>1154.5673993963783</v>
      </c>
      <c r="R36" s="494"/>
    </row>
    <row r="37" spans="2:18" ht="30" customHeight="1"/>
    <row r="38" spans="2:18" ht="30" customHeight="1">
      <c r="B38" s="201" t="str">
        <f>可研资料整理!C6</f>
        <v>经九路（纬四路-纬九路）道路管网工程</v>
      </c>
      <c r="K38" s="201" t="str">
        <f>可研资料整理!C11</f>
        <v>危险品运输车辆停车场项目</v>
      </c>
    </row>
    <row r="39" spans="2:18" ht="30" customHeight="1">
      <c r="B39" s="492" t="s">
        <v>7</v>
      </c>
      <c r="C39" s="492" t="s">
        <v>39</v>
      </c>
      <c r="D39" s="492"/>
      <c r="E39" s="234" t="s">
        <v>40</v>
      </c>
      <c r="F39" s="234" t="s">
        <v>41</v>
      </c>
      <c r="G39" s="234" t="s">
        <v>405</v>
      </c>
      <c r="H39" s="234" t="s">
        <v>42</v>
      </c>
      <c r="I39" s="492" t="s">
        <v>43</v>
      </c>
      <c r="J39" s="189"/>
      <c r="K39" s="492" t="s">
        <v>7</v>
      </c>
      <c r="L39" s="492" t="s">
        <v>39</v>
      </c>
      <c r="M39" s="492"/>
      <c r="N39" s="234" t="s">
        <v>40</v>
      </c>
      <c r="O39" s="234" t="s">
        <v>41</v>
      </c>
      <c r="P39" s="234" t="s">
        <v>405</v>
      </c>
      <c r="Q39" s="234" t="s">
        <v>42</v>
      </c>
      <c r="R39" s="492" t="s">
        <v>43</v>
      </c>
    </row>
    <row r="40" spans="2:18" ht="30" customHeight="1">
      <c r="B40" s="492"/>
      <c r="C40" s="492"/>
      <c r="D40" s="492"/>
      <c r="E40" s="33">
        <f>D3</f>
        <v>0.4</v>
      </c>
      <c r="F40" s="33">
        <f t="shared" ref="F40:G40" si="7">E3</f>
        <v>0.3</v>
      </c>
      <c r="G40" s="33">
        <f t="shared" si="7"/>
        <v>0.3</v>
      </c>
      <c r="H40" s="33">
        <v>1</v>
      </c>
      <c r="I40" s="492"/>
      <c r="J40" s="249"/>
      <c r="K40" s="492"/>
      <c r="L40" s="492"/>
      <c r="M40" s="492"/>
      <c r="N40" s="33">
        <f>D3</f>
        <v>0.4</v>
      </c>
      <c r="O40" s="33">
        <f t="shared" ref="O40:P40" si="8">E3</f>
        <v>0.3</v>
      </c>
      <c r="P40" s="33">
        <f t="shared" si="8"/>
        <v>0.3</v>
      </c>
      <c r="Q40" s="33">
        <v>1</v>
      </c>
      <c r="R40" s="492"/>
    </row>
    <row r="41" spans="2:18" ht="30" customHeight="1">
      <c r="B41" s="234" t="s">
        <v>12</v>
      </c>
      <c r="C41" s="492" t="s">
        <v>44</v>
      </c>
      <c r="D41" s="492"/>
      <c r="E41" s="238"/>
      <c r="F41" s="238"/>
      <c r="G41" s="238"/>
      <c r="H41" s="238">
        <f ca="1">H42+H45</f>
        <v>3849.7048289738432</v>
      </c>
      <c r="I41" s="29"/>
      <c r="J41" s="250"/>
      <c r="K41" s="234" t="s">
        <v>12</v>
      </c>
      <c r="L41" s="492" t="s">
        <v>44</v>
      </c>
      <c r="M41" s="492"/>
      <c r="N41" s="238"/>
      <c r="O41" s="238"/>
      <c r="P41" s="238"/>
      <c r="Q41" s="238">
        <f ca="1">Q42+Q45</f>
        <v>4772.9092681086513</v>
      </c>
      <c r="R41" s="29"/>
    </row>
    <row r="42" spans="2:18" ht="30" customHeight="1">
      <c r="B42" s="234">
        <v>1</v>
      </c>
      <c r="C42" s="492" t="s">
        <v>45</v>
      </c>
      <c r="D42" s="492"/>
      <c r="E42" s="238"/>
      <c r="F42" s="238"/>
      <c r="G42" s="238"/>
      <c r="H42" s="238">
        <f ca="1">I42*可研资料整理!K6</f>
        <v>769.94096579476877</v>
      </c>
      <c r="I42" s="493">
        <v>0.2</v>
      </c>
      <c r="J42" s="250"/>
      <c r="K42" s="234">
        <v>1</v>
      </c>
      <c r="L42" s="492" t="s">
        <v>45</v>
      </c>
      <c r="M42" s="492"/>
      <c r="N42" s="238"/>
      <c r="O42" s="238"/>
      <c r="P42" s="238"/>
      <c r="Q42" s="238">
        <f ca="1">R42*可研资料整理!K11</f>
        <v>954.58185362173026</v>
      </c>
      <c r="R42" s="493">
        <v>0.2</v>
      </c>
    </row>
    <row r="43" spans="2:18" ht="30" customHeight="1">
      <c r="B43" s="234">
        <v>1.1000000000000001</v>
      </c>
      <c r="C43" s="234" t="s">
        <v>46</v>
      </c>
      <c r="D43" s="33">
        <f>D32</f>
        <v>0.15</v>
      </c>
      <c r="E43" s="238"/>
      <c r="F43" s="238"/>
      <c r="G43" s="238"/>
      <c r="H43" s="238"/>
      <c r="I43" s="493"/>
      <c r="J43" s="250"/>
      <c r="K43" s="234">
        <v>1.1000000000000001</v>
      </c>
      <c r="L43" s="234" t="s">
        <v>46</v>
      </c>
      <c r="M43" s="33">
        <f>M32</f>
        <v>0.15</v>
      </c>
      <c r="N43" s="238"/>
      <c r="O43" s="238"/>
      <c r="P43" s="238"/>
      <c r="Q43" s="238"/>
      <c r="R43" s="493"/>
    </row>
    <row r="44" spans="2:18" ht="30" customHeight="1">
      <c r="B44" s="234">
        <v>1.2</v>
      </c>
      <c r="C44" s="234" t="s">
        <v>47</v>
      </c>
      <c r="D44" s="33">
        <f>D33</f>
        <v>0.85</v>
      </c>
      <c r="E44" s="238"/>
      <c r="F44" s="238"/>
      <c r="G44" s="238"/>
      <c r="H44" s="238"/>
      <c r="I44" s="493"/>
      <c r="J44" s="251"/>
      <c r="K44" s="234">
        <v>1.2</v>
      </c>
      <c r="L44" s="234" t="s">
        <v>47</v>
      </c>
      <c r="M44" s="33">
        <f>M33</f>
        <v>0.85</v>
      </c>
      <c r="N44" s="238"/>
      <c r="O44" s="238"/>
      <c r="P44" s="238"/>
      <c r="Q44" s="238"/>
      <c r="R44" s="493"/>
    </row>
    <row r="45" spans="2:18" ht="30" customHeight="1">
      <c r="B45" s="234">
        <v>2</v>
      </c>
      <c r="C45" s="492" t="s">
        <v>48</v>
      </c>
      <c r="D45" s="492"/>
      <c r="E45" s="153"/>
      <c r="F45" s="153"/>
      <c r="G45" s="153"/>
      <c r="H45" s="153">
        <f ca="1">H46+H47</f>
        <v>3079.7638631790746</v>
      </c>
      <c r="I45" s="494">
        <f ca="1">H45/H41</f>
        <v>0.8</v>
      </c>
      <c r="J45" s="251"/>
      <c r="K45" s="234">
        <v>2</v>
      </c>
      <c r="L45" s="492" t="s">
        <v>48</v>
      </c>
      <c r="M45" s="492"/>
      <c r="N45" s="153"/>
      <c r="O45" s="153"/>
      <c r="P45" s="153"/>
      <c r="Q45" s="153">
        <f ca="1">Q46+Q47</f>
        <v>3818.3274144869215</v>
      </c>
      <c r="R45" s="494">
        <f ca="1">Q45/Q41</f>
        <v>0.8</v>
      </c>
    </row>
    <row r="46" spans="2:18" ht="30" customHeight="1">
      <c r="B46" s="234">
        <v>2.1</v>
      </c>
      <c r="C46" s="492" t="s">
        <v>49</v>
      </c>
      <c r="D46" s="492"/>
      <c r="E46" s="238">
        <f ca="1">H46*E40</f>
        <v>1130.9356136820927</v>
      </c>
      <c r="F46" s="238">
        <f ca="1">H46*F40</f>
        <v>848.20171026156947</v>
      </c>
      <c r="G46" s="238">
        <f ca="1">H46*G40</f>
        <v>848.20171026156947</v>
      </c>
      <c r="H46" s="238">
        <f ca="1">可研资料整理!I6-'2-1投资计划表--分子项'!H42</f>
        <v>2827.3390342052317</v>
      </c>
      <c r="I46" s="494"/>
      <c r="J46" s="251"/>
      <c r="K46" s="234">
        <v>2.1</v>
      </c>
      <c r="L46" s="492" t="s">
        <v>49</v>
      </c>
      <c r="M46" s="492"/>
      <c r="N46" s="238">
        <f ca="1">Q46*N40</f>
        <v>1402.1472585513079</v>
      </c>
      <c r="O46" s="238">
        <f ca="1">Q46*O40</f>
        <v>1051.6104439134808</v>
      </c>
      <c r="P46" s="238">
        <f ca="1">Q46*P40</f>
        <v>1051.6104439134808</v>
      </c>
      <c r="Q46" s="238">
        <f ca="1">可研资料整理!I11-'2-1投资计划表--分子项'!Q42</f>
        <v>3505.3681463782696</v>
      </c>
      <c r="R46" s="494"/>
    </row>
    <row r="47" spans="2:18" ht="30" customHeight="1">
      <c r="B47" s="234">
        <v>2.2000000000000002</v>
      </c>
      <c r="C47" s="234" t="s">
        <v>22</v>
      </c>
      <c r="D47" s="192">
        <f>D36</f>
        <v>5.5799999999999995E-2</v>
      </c>
      <c r="E47" s="238">
        <f ca="1">E46*D47/2</f>
        <v>31.553103621730383</v>
      </c>
      <c r="F47" s="238">
        <f ca="1">(E46+F46/2)*D47</f>
        <v>86.771034959758552</v>
      </c>
      <c r="G47" s="238">
        <f ca="1">(E46+F46+G46/2)*D47</f>
        <v>134.10069039235412</v>
      </c>
      <c r="H47" s="238">
        <f ca="1">E47+F47+G47</f>
        <v>252.42482897384306</v>
      </c>
      <c r="I47" s="494"/>
      <c r="K47" s="234">
        <v>2.2000000000000002</v>
      </c>
      <c r="L47" s="234" t="s">
        <v>22</v>
      </c>
      <c r="M47" s="192">
        <f>M36</f>
        <v>5.5799999999999995E-2</v>
      </c>
      <c r="N47" s="238">
        <f ca="1">N46*M47/2</f>
        <v>39.119908513581485</v>
      </c>
      <c r="O47" s="238">
        <f ca="1">(N46+O46/2)*M47</f>
        <v>107.57974841234908</v>
      </c>
      <c r="P47" s="238">
        <f ca="1">(N46+O46+P46/2)*M47</f>
        <v>166.25961118272133</v>
      </c>
      <c r="Q47" s="238">
        <f ca="1">N47+O47+P47</f>
        <v>312.95926810865188</v>
      </c>
      <c r="R47" s="494"/>
    </row>
    <row r="48" spans="2:18" ht="30" customHeight="1"/>
    <row r="49" spans="2:10" ht="30" customHeight="1">
      <c r="B49" s="201" t="str">
        <f>可研资料整理!C7</f>
        <v>纬九路（经七路-经九路）道路管网建设工程</v>
      </c>
    </row>
    <row r="50" spans="2:10" ht="30" customHeight="1">
      <c r="B50" s="492" t="s">
        <v>7</v>
      </c>
      <c r="C50" s="492" t="s">
        <v>39</v>
      </c>
      <c r="D50" s="492"/>
      <c r="E50" s="234" t="s">
        <v>40</v>
      </c>
      <c r="F50" s="234" t="s">
        <v>41</v>
      </c>
      <c r="G50" s="234" t="s">
        <v>405</v>
      </c>
      <c r="H50" s="234" t="s">
        <v>42</v>
      </c>
      <c r="I50" s="492" t="s">
        <v>43</v>
      </c>
      <c r="J50" s="189"/>
    </row>
    <row r="51" spans="2:10" ht="30" customHeight="1">
      <c r="B51" s="492"/>
      <c r="C51" s="492"/>
      <c r="D51" s="492"/>
      <c r="E51" s="33">
        <f>D3</f>
        <v>0.4</v>
      </c>
      <c r="F51" s="33">
        <f t="shared" ref="F51:G51" si="9">E3</f>
        <v>0.3</v>
      </c>
      <c r="G51" s="33">
        <f t="shared" si="9"/>
        <v>0.3</v>
      </c>
      <c r="H51" s="33">
        <v>1</v>
      </c>
      <c r="I51" s="492"/>
      <c r="J51" s="249"/>
    </row>
    <row r="52" spans="2:10" ht="30" customHeight="1">
      <c r="B52" s="234" t="s">
        <v>12</v>
      </c>
      <c r="C52" s="492" t="s">
        <v>44</v>
      </c>
      <c r="D52" s="492"/>
      <c r="E52" s="238"/>
      <c r="F52" s="238"/>
      <c r="G52" s="238"/>
      <c r="H52" s="238">
        <f ca="1">H53+H56</f>
        <v>8896.9524396378274</v>
      </c>
      <c r="I52" s="29"/>
      <c r="J52" s="250"/>
    </row>
    <row r="53" spans="2:10" ht="30" customHeight="1">
      <c r="B53" s="234">
        <v>1</v>
      </c>
      <c r="C53" s="492" t="s">
        <v>45</v>
      </c>
      <c r="D53" s="492"/>
      <c r="E53" s="238"/>
      <c r="F53" s="238"/>
      <c r="G53" s="238"/>
      <c r="H53" s="238">
        <f ca="1">I53*可研资料整理!K7</f>
        <v>1779.3904879275656</v>
      </c>
      <c r="I53" s="493">
        <v>0.2</v>
      </c>
      <c r="J53" s="250"/>
    </row>
    <row r="54" spans="2:10" ht="30" customHeight="1">
      <c r="B54" s="234">
        <v>1.1000000000000001</v>
      </c>
      <c r="C54" s="234" t="s">
        <v>46</v>
      </c>
      <c r="D54" s="33">
        <f>D43</f>
        <v>0.15</v>
      </c>
      <c r="E54" s="238"/>
      <c r="F54" s="238"/>
      <c r="G54" s="238"/>
      <c r="H54" s="238"/>
      <c r="I54" s="493"/>
      <c r="J54" s="250"/>
    </row>
    <row r="55" spans="2:10" ht="30" customHeight="1">
      <c r="B55" s="234">
        <v>1.2</v>
      </c>
      <c r="C55" s="234" t="s">
        <v>47</v>
      </c>
      <c r="D55" s="33">
        <f>D44</f>
        <v>0.85</v>
      </c>
      <c r="E55" s="238"/>
      <c r="F55" s="238"/>
      <c r="G55" s="238"/>
      <c r="H55" s="238"/>
      <c r="I55" s="493"/>
      <c r="J55" s="251"/>
    </row>
    <row r="56" spans="2:10" ht="30" customHeight="1">
      <c r="B56" s="234">
        <v>2</v>
      </c>
      <c r="C56" s="492" t="s">
        <v>48</v>
      </c>
      <c r="D56" s="492"/>
      <c r="E56" s="153"/>
      <c r="F56" s="153"/>
      <c r="G56" s="153"/>
      <c r="H56" s="153">
        <f ca="1">H57+H58</f>
        <v>7117.5619517102614</v>
      </c>
      <c r="I56" s="494">
        <f ca="1">H56/H52</f>
        <v>0.79999999999999993</v>
      </c>
      <c r="J56" s="251"/>
    </row>
    <row r="57" spans="2:10" ht="30" customHeight="1">
      <c r="B57" s="234">
        <v>2.1</v>
      </c>
      <c r="C57" s="492" t="s">
        <v>49</v>
      </c>
      <c r="D57" s="492"/>
      <c r="E57" s="238">
        <f ca="1">H57*E51</f>
        <v>2613.6758048289739</v>
      </c>
      <c r="F57" s="238">
        <f ca="1">H57*F51</f>
        <v>1960.2568536217304</v>
      </c>
      <c r="G57" s="238">
        <f ca="1">H57*G51</f>
        <v>1960.2568536217304</v>
      </c>
      <c r="H57" s="238">
        <f ca="1">可研资料整理!I7-'2-1投资计划表--分子项'!H53</f>
        <v>6534.1895120724348</v>
      </c>
      <c r="I57" s="494"/>
      <c r="J57" s="251"/>
    </row>
    <row r="58" spans="2:10" ht="30" customHeight="1">
      <c r="B58" s="234">
        <v>2.2000000000000002</v>
      </c>
      <c r="C58" s="234" t="s">
        <v>22</v>
      </c>
      <c r="D58" s="192">
        <f>D47</f>
        <v>5.5799999999999995E-2</v>
      </c>
      <c r="E58" s="238">
        <f ca="1">E57*D58/2</f>
        <v>72.921554954728364</v>
      </c>
      <c r="F58" s="238">
        <f ca="1">(E57+F57/2)*D58</f>
        <v>200.534276125503</v>
      </c>
      <c r="G58" s="238">
        <f ca="1">(E57+F57+G57/2)*D58</f>
        <v>309.91660855759557</v>
      </c>
      <c r="H58" s="238">
        <f ca="1">E58+F58+G58</f>
        <v>583.37243963782691</v>
      </c>
      <c r="I58" s="494"/>
    </row>
    <row r="59" spans="2:10" ht="30" customHeight="1"/>
    <row r="60" spans="2:10" ht="30" customHeight="1"/>
  </sheetData>
  <mergeCells count="81">
    <mergeCell ref="R34:R36"/>
    <mergeCell ref="R39:R40"/>
    <mergeCell ref="R42:R44"/>
    <mergeCell ref="R45:R47"/>
    <mergeCell ref="R17:R18"/>
    <mergeCell ref="R20:R22"/>
    <mergeCell ref="R23:R25"/>
    <mergeCell ref="R28:R29"/>
    <mergeCell ref="R31:R33"/>
    <mergeCell ref="R6:R7"/>
    <mergeCell ref="L8:M8"/>
    <mergeCell ref="R9:R11"/>
    <mergeCell ref="L12:M12"/>
    <mergeCell ref="R12:R14"/>
    <mergeCell ref="L9:M9"/>
    <mergeCell ref="B50:B51"/>
    <mergeCell ref="C50:D51"/>
    <mergeCell ref="I50:I51"/>
    <mergeCell ref="C53:D53"/>
    <mergeCell ref="I53:I55"/>
    <mergeCell ref="I34:I36"/>
    <mergeCell ref="C35:D35"/>
    <mergeCell ref="B39:B40"/>
    <mergeCell ref="C39:D40"/>
    <mergeCell ref="I39:I40"/>
    <mergeCell ref="C34:D34"/>
    <mergeCell ref="B28:B29"/>
    <mergeCell ref="C28:D29"/>
    <mergeCell ref="I28:I29"/>
    <mergeCell ref="C31:D31"/>
    <mergeCell ref="I31:I33"/>
    <mergeCell ref="C30:D30"/>
    <mergeCell ref="B6:B7"/>
    <mergeCell ref="C6:D7"/>
    <mergeCell ref="I6:I7"/>
    <mergeCell ref="B17:B18"/>
    <mergeCell ref="C17:D18"/>
    <mergeCell ref="I17:I18"/>
    <mergeCell ref="C23:D23"/>
    <mergeCell ref="C8:D8"/>
    <mergeCell ref="C9:D9"/>
    <mergeCell ref="I9:I11"/>
    <mergeCell ref="C12:D12"/>
    <mergeCell ref="I12:I14"/>
    <mergeCell ref="C13:D13"/>
    <mergeCell ref="C20:D20"/>
    <mergeCell ref="I20:I22"/>
    <mergeCell ref="I23:I25"/>
    <mergeCell ref="C24:D24"/>
    <mergeCell ref="C19:D19"/>
    <mergeCell ref="C56:D56"/>
    <mergeCell ref="C41:D41"/>
    <mergeCell ref="C45:D45"/>
    <mergeCell ref="C42:D42"/>
    <mergeCell ref="I42:I44"/>
    <mergeCell ref="I45:I47"/>
    <mergeCell ref="C46:D46"/>
    <mergeCell ref="I56:I58"/>
    <mergeCell ref="C57:D57"/>
    <mergeCell ref="C52:D52"/>
    <mergeCell ref="L19:M19"/>
    <mergeCell ref="L20:M20"/>
    <mergeCell ref="L23:M23"/>
    <mergeCell ref="L24:M24"/>
    <mergeCell ref="K6:K7"/>
    <mergeCell ref="L6:M7"/>
    <mergeCell ref="L13:M13"/>
    <mergeCell ref="K17:K18"/>
    <mergeCell ref="L17:M18"/>
    <mergeCell ref="K28:K29"/>
    <mergeCell ref="L28:M29"/>
    <mergeCell ref="L30:M30"/>
    <mergeCell ref="L34:M34"/>
    <mergeCell ref="L35:M35"/>
    <mergeCell ref="L31:M31"/>
    <mergeCell ref="L46:M46"/>
    <mergeCell ref="K39:K40"/>
    <mergeCell ref="L39:M40"/>
    <mergeCell ref="L41:M41"/>
    <mergeCell ref="L42:M42"/>
    <mergeCell ref="L45:M45"/>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topLeftCell="A19" workbookViewId="0">
      <selection activeCell="D45" sqref="D45:H45"/>
    </sheetView>
  </sheetViews>
  <sheetFormatPr defaultColWidth="11" defaultRowHeight="17.399999999999999"/>
  <cols>
    <col min="2" max="2" width="11.08984375" style="27" bestFit="1" customWidth="1"/>
    <col min="3" max="3" width="25.453125" style="27" bestFit="1" customWidth="1"/>
    <col min="4" max="6" width="14.36328125" style="27" customWidth="1"/>
    <col min="7" max="10" width="12.453125" style="27" bestFit="1" customWidth="1"/>
  </cols>
  <sheetData>
    <row r="1" spans="2:5" ht="18" thickBot="1"/>
    <row r="2" spans="2:5" ht="20.100000000000001" customHeight="1">
      <c r="B2" s="495" t="s">
        <v>55</v>
      </c>
      <c r="C2" s="496"/>
      <c r="D2" s="496"/>
      <c r="E2" s="497"/>
    </row>
    <row r="3" spans="2:5" ht="20.100000000000001" customHeight="1">
      <c r="B3" s="34" t="s">
        <v>56</v>
      </c>
      <c r="C3" s="35" t="s">
        <v>57</v>
      </c>
      <c r="D3" s="35" t="s">
        <v>58</v>
      </c>
      <c r="E3" s="36" t="s">
        <v>59</v>
      </c>
    </row>
    <row r="4" spans="2:5" ht="20.100000000000001" customHeight="1">
      <c r="B4" s="37">
        <v>1</v>
      </c>
      <c r="C4" s="38" t="s">
        <v>60</v>
      </c>
      <c r="D4" s="39">
        <v>0.09</v>
      </c>
      <c r="E4" s="40"/>
    </row>
    <row r="5" spans="2:5" ht="20.100000000000001" customHeight="1">
      <c r="B5" s="37">
        <v>2</v>
      </c>
      <c r="C5" s="38" t="s">
        <v>61</v>
      </c>
      <c r="D5" s="39">
        <v>0.09</v>
      </c>
      <c r="E5" s="40"/>
    </row>
    <row r="6" spans="2:5" ht="20.100000000000001" customHeight="1">
      <c r="B6" s="37">
        <v>3</v>
      </c>
      <c r="C6" s="38" t="s">
        <v>62</v>
      </c>
      <c r="D6" s="39">
        <v>0.13</v>
      </c>
      <c r="E6" s="40"/>
    </row>
    <row r="7" spans="2:5" ht="20.100000000000001" customHeight="1">
      <c r="B7" s="37">
        <v>4</v>
      </c>
      <c r="C7" s="38" t="s">
        <v>63</v>
      </c>
      <c r="D7" s="39">
        <v>0.13</v>
      </c>
      <c r="E7" s="40"/>
    </row>
    <row r="8" spans="2:5" ht="20.100000000000001" customHeight="1">
      <c r="B8" s="37">
        <v>5</v>
      </c>
      <c r="C8" s="38" t="s">
        <v>64</v>
      </c>
      <c r="D8" s="39">
        <v>0.06</v>
      </c>
      <c r="E8" s="40"/>
    </row>
    <row r="9" spans="2:5" ht="20.100000000000001" customHeight="1">
      <c r="B9" s="37">
        <v>6</v>
      </c>
      <c r="C9" s="38" t="s">
        <v>53</v>
      </c>
      <c r="D9" s="39">
        <v>0.09</v>
      </c>
      <c r="E9" s="40"/>
    </row>
    <row r="10" spans="2:5" ht="20.100000000000001" customHeight="1">
      <c r="B10" s="37">
        <v>7</v>
      </c>
      <c r="C10" s="38" t="s">
        <v>65</v>
      </c>
      <c r="D10" s="39">
        <v>7.0000000000000007E-2</v>
      </c>
      <c r="E10" s="40"/>
    </row>
    <row r="11" spans="2:5" ht="20.100000000000001" customHeight="1">
      <c r="B11" s="37">
        <v>8</v>
      </c>
      <c r="C11" s="38" t="s">
        <v>66</v>
      </c>
      <c r="D11" s="39">
        <v>0.03</v>
      </c>
      <c r="E11" s="40"/>
    </row>
    <row r="12" spans="2:5" ht="20.100000000000001" customHeight="1">
      <c r="B12" s="37">
        <v>9</v>
      </c>
      <c r="C12" s="38" t="s">
        <v>67</v>
      </c>
      <c r="D12" s="39">
        <v>0.02</v>
      </c>
      <c r="E12" s="40"/>
    </row>
    <row r="13" spans="2:5" ht="20.100000000000001" customHeight="1">
      <c r="B13" s="37">
        <v>10</v>
      </c>
      <c r="C13" s="38" t="s">
        <v>68</v>
      </c>
      <c r="D13" s="39">
        <v>5.0000000000000001E-3</v>
      </c>
      <c r="E13" s="40"/>
    </row>
    <row r="14" spans="2:5" ht="20.100000000000001" customHeight="1">
      <c r="B14" s="37">
        <v>11</v>
      </c>
      <c r="C14" s="38" t="s">
        <v>69</v>
      </c>
      <c r="D14" s="39">
        <v>0.12</v>
      </c>
      <c r="E14" s="40"/>
    </row>
    <row r="15" spans="2:5" ht="20.100000000000001" customHeight="1">
      <c r="B15" s="37">
        <v>12</v>
      </c>
      <c r="C15" s="38" t="s">
        <v>70</v>
      </c>
      <c r="D15" s="39">
        <v>0.06</v>
      </c>
      <c r="E15" s="40"/>
    </row>
    <row r="16" spans="2:5" ht="20.100000000000001" customHeight="1">
      <c r="B16" s="37">
        <v>13</v>
      </c>
      <c r="C16" s="38" t="s">
        <v>71</v>
      </c>
      <c r="D16" s="39">
        <v>0.09</v>
      </c>
      <c r="E16" s="40"/>
    </row>
    <row r="17" spans="2:10" ht="20.100000000000001" customHeight="1">
      <c r="B17" s="37">
        <v>14</v>
      </c>
      <c r="C17" s="38" t="s">
        <v>72</v>
      </c>
      <c r="D17" s="39">
        <v>0.06</v>
      </c>
      <c r="E17" s="40"/>
    </row>
    <row r="18" spans="2:10" ht="20.100000000000001" customHeight="1" thickBot="1">
      <c r="B18" s="41">
        <v>15</v>
      </c>
      <c r="C18" s="42" t="s">
        <v>73</v>
      </c>
      <c r="D18" s="43">
        <v>0.06</v>
      </c>
      <c r="E18" s="44"/>
    </row>
    <row r="19" spans="2:10" ht="20.100000000000001" customHeight="1"/>
    <row r="20" spans="2:10" ht="20.100000000000001" customHeight="1">
      <c r="J20"/>
    </row>
    <row r="21" spans="2:10" ht="20.100000000000001" customHeight="1" thickBot="1">
      <c r="B21" s="498" t="s">
        <v>0</v>
      </c>
      <c r="C21" s="498" t="s">
        <v>74</v>
      </c>
      <c r="D21" s="498" t="s">
        <v>6</v>
      </c>
      <c r="E21" s="498" t="s">
        <v>75</v>
      </c>
      <c r="F21" s="498"/>
      <c r="G21" s="498"/>
    </row>
    <row r="22" spans="2:10" ht="20.100000000000001" customHeight="1">
      <c r="B22" s="498"/>
      <c r="C22" s="498"/>
      <c r="D22" s="498"/>
      <c r="E22" s="239">
        <v>1</v>
      </c>
      <c r="F22" s="239">
        <v>2</v>
      </c>
      <c r="G22" s="234">
        <v>3</v>
      </c>
      <c r="I22" s="181" t="s">
        <v>374</v>
      </c>
      <c r="J22" s="46">
        <f>D28+D33</f>
        <v>63888.89</v>
      </c>
    </row>
    <row r="23" spans="2:10" ht="20.100000000000001" customHeight="1" thickBot="1">
      <c r="B23" s="239" t="s">
        <v>76</v>
      </c>
      <c r="C23" s="239" t="s">
        <v>77</v>
      </c>
      <c r="D23" s="48">
        <f>E23+F23+G23</f>
        <v>63888.89</v>
      </c>
      <c r="E23" s="48">
        <f>E24+E25+E26+E27</f>
        <v>25555.556</v>
      </c>
      <c r="F23" s="48">
        <f t="shared" ref="F23:G23" si="0">F24+F25+F26+F27</f>
        <v>19166.667000000001</v>
      </c>
      <c r="G23" s="48">
        <f t="shared" si="0"/>
        <v>19166.667000000001</v>
      </c>
      <c r="I23" s="182" t="s">
        <v>375</v>
      </c>
      <c r="J23" s="49">
        <f>'1投资估算'!D4</f>
        <v>63888.890000000007</v>
      </c>
    </row>
    <row r="24" spans="2:10" ht="20.100000000000001" customHeight="1">
      <c r="B24" s="234">
        <v>1</v>
      </c>
      <c r="C24" s="234" t="s">
        <v>373</v>
      </c>
      <c r="D24" s="48">
        <f t="shared" ref="D24:D37" si="1">E24+F24+G24</f>
        <v>46244.71</v>
      </c>
      <c r="E24" s="47">
        <f>'2投资计划表'!E17</f>
        <v>15743.456000000002</v>
      </c>
      <c r="F24" s="47">
        <f>'2投资计划表'!F17</f>
        <v>15250.626999999999</v>
      </c>
      <c r="G24" s="47">
        <f>'2投资计划表'!G17</f>
        <v>15250.626999999999</v>
      </c>
    </row>
    <row r="25" spans="2:10" ht="20.100000000000001" customHeight="1">
      <c r="B25" s="234">
        <v>2</v>
      </c>
      <c r="C25" s="234" t="s">
        <v>369</v>
      </c>
      <c r="D25" s="48">
        <f t="shared" si="1"/>
        <v>4034.34</v>
      </c>
      <c r="E25" s="47">
        <f>'2投资计划表'!E18</f>
        <v>1613.7360000000001</v>
      </c>
      <c r="F25" s="47">
        <f>'2投资计划表'!F18</f>
        <v>1210.3019999999999</v>
      </c>
      <c r="G25" s="47">
        <f>'2投资计划表'!G18</f>
        <v>1210.3019999999999</v>
      </c>
    </row>
    <row r="26" spans="2:10" ht="20.100000000000001" customHeight="1">
      <c r="B26" s="234">
        <v>3</v>
      </c>
      <c r="C26" s="234" t="s">
        <v>52</v>
      </c>
      <c r="D26" s="48">
        <f t="shared" si="1"/>
        <v>10410.43</v>
      </c>
      <c r="E26" s="47">
        <f>'2投资计划表'!E19</f>
        <v>6918.6</v>
      </c>
      <c r="F26" s="47">
        <f>'2投资计划表'!F19</f>
        <v>1745.915</v>
      </c>
      <c r="G26" s="47">
        <f>'2投资计划表'!G19</f>
        <v>1745.915</v>
      </c>
    </row>
    <row r="27" spans="2:10" ht="20.100000000000001" customHeight="1">
      <c r="B27" s="234">
        <v>4</v>
      </c>
      <c r="C27" s="234" t="s">
        <v>20</v>
      </c>
      <c r="D27" s="48">
        <f t="shared" si="1"/>
        <v>3199.4100000000008</v>
      </c>
      <c r="E27" s="47">
        <f>'2投资计划表'!E21</f>
        <v>1279.7640000000001</v>
      </c>
      <c r="F27" s="47">
        <f>'2投资计划表'!F21</f>
        <v>959.82300000000009</v>
      </c>
      <c r="G27" s="47">
        <f>'2投资计划表'!G21</f>
        <v>959.82300000000009</v>
      </c>
    </row>
    <row r="28" spans="2:10" ht="20.100000000000001" customHeight="1">
      <c r="B28" s="239" t="s">
        <v>54</v>
      </c>
      <c r="C28" s="239" t="s">
        <v>78</v>
      </c>
      <c r="D28" s="48">
        <f t="shared" si="1"/>
        <v>4948.3845847203047</v>
      </c>
      <c r="E28" s="47">
        <f>E29+E30+E31+E32</f>
        <v>1591.2380167248518</v>
      </c>
      <c r="F28" s="47">
        <f t="shared" ref="F28:G28" si="2">F29+F30+F31+F32</f>
        <v>1678.5732839977263</v>
      </c>
      <c r="G28" s="47">
        <f t="shared" si="2"/>
        <v>1678.5732839977263</v>
      </c>
      <c r="H28"/>
      <c r="I28"/>
      <c r="J28"/>
    </row>
    <row r="29" spans="2:10" ht="20.100000000000001" customHeight="1">
      <c r="B29" s="234">
        <v>1</v>
      </c>
      <c r="C29" s="234" t="s">
        <v>373</v>
      </c>
      <c r="D29" s="48">
        <f t="shared" si="1"/>
        <v>3818.3705504587151</v>
      </c>
      <c r="E29" s="47">
        <f>E24/(1+$D$4)*$D$4</f>
        <v>1299.9183853211009</v>
      </c>
      <c r="F29" s="47">
        <f t="shared" ref="F29:G29" si="3">F24/(1+$D$4)*$D$4</f>
        <v>1259.226082568807</v>
      </c>
      <c r="G29" s="47">
        <f t="shared" si="3"/>
        <v>1259.226082568807</v>
      </c>
      <c r="H29"/>
      <c r="I29"/>
      <c r="J29"/>
    </row>
    <row r="30" spans="2:10" ht="20.100000000000001" customHeight="1">
      <c r="B30" s="234">
        <v>2</v>
      </c>
      <c r="C30" s="234" t="s">
        <v>369</v>
      </c>
      <c r="D30" s="48">
        <f t="shared" si="1"/>
        <v>464.12761061946907</v>
      </c>
      <c r="E30" s="47">
        <f>E25/(1+$D$6)*$D$6</f>
        <v>185.65104424778764</v>
      </c>
      <c r="F30" s="47">
        <f t="shared" ref="F30:G30" si="4">F25/(1+$D$6)*$D$6</f>
        <v>139.23828318584071</v>
      </c>
      <c r="G30" s="47">
        <f t="shared" si="4"/>
        <v>139.23828318584071</v>
      </c>
      <c r="H30"/>
      <c r="I30"/>
      <c r="J30"/>
    </row>
    <row r="31" spans="2:10" ht="20.100000000000001" customHeight="1">
      <c r="B31" s="234">
        <v>3</v>
      </c>
      <c r="C31" s="234" t="s">
        <v>52</v>
      </c>
      <c r="D31" s="48">
        <f t="shared" si="1"/>
        <v>401.71495575221246</v>
      </c>
      <c r="E31" s="47">
        <f>(E26-'2投资计划表'!E20)/(1+$D$7)*$D$7</f>
        <v>0</v>
      </c>
      <c r="F31" s="47">
        <f>(F26-'2投资计划表'!F20)/(1+$D$7)*$D$7</f>
        <v>200.85747787610623</v>
      </c>
      <c r="G31" s="47">
        <f>(G26-'2投资计划表'!G20)/(1+$D$7)*$D$7</f>
        <v>200.85747787610623</v>
      </c>
      <c r="H31"/>
      <c r="I31"/>
      <c r="J31"/>
    </row>
    <row r="32" spans="2:10" ht="20.100000000000001" customHeight="1">
      <c r="B32" s="234">
        <v>4</v>
      </c>
      <c r="C32" s="234" t="s">
        <v>20</v>
      </c>
      <c r="D32" s="48">
        <f t="shared" si="1"/>
        <v>264.17146788990823</v>
      </c>
      <c r="E32" s="47">
        <f>E27/(1+$D$9)*$D$9</f>
        <v>105.66858715596329</v>
      </c>
      <c r="F32" s="47">
        <f t="shared" ref="F32:G32" si="5">F27/(1+$D$9)*$D$9</f>
        <v>79.251440366972474</v>
      </c>
      <c r="G32" s="47">
        <f t="shared" si="5"/>
        <v>79.251440366972474</v>
      </c>
      <c r="H32"/>
      <c r="I32"/>
      <c r="J32"/>
    </row>
    <row r="33" spans="2:10" ht="20.100000000000001" customHeight="1">
      <c r="B33" s="239" t="s">
        <v>79</v>
      </c>
      <c r="C33" s="239" t="s">
        <v>80</v>
      </c>
      <c r="D33" s="48">
        <f t="shared" si="1"/>
        <v>58940.505415279695</v>
      </c>
      <c r="E33" s="48">
        <f>E34+E35+E36+E37</f>
        <v>23964.317983275148</v>
      </c>
      <c r="F33" s="48">
        <f t="shared" ref="F33:G33" si="6">F34+F35+F36+F37</f>
        <v>17488.093716002273</v>
      </c>
      <c r="G33" s="48">
        <f t="shared" si="6"/>
        <v>17488.093716002273</v>
      </c>
      <c r="H33"/>
      <c r="I33"/>
      <c r="J33"/>
    </row>
    <row r="34" spans="2:10" ht="20.100000000000001" customHeight="1">
      <c r="B34" s="234">
        <v>1</v>
      </c>
      <c r="C34" s="234" t="s">
        <v>373</v>
      </c>
      <c r="D34" s="48">
        <f t="shared" si="1"/>
        <v>42426.339449541287</v>
      </c>
      <c r="E34" s="47">
        <f>E24-E29</f>
        <v>14443.5376146789</v>
      </c>
      <c r="F34" s="47">
        <f t="shared" ref="F34:G34" si="7">F24-F29</f>
        <v>13991.400917431192</v>
      </c>
      <c r="G34" s="47">
        <f t="shared" si="7"/>
        <v>13991.400917431192</v>
      </c>
      <c r="H34"/>
      <c r="I34"/>
      <c r="J34"/>
    </row>
    <row r="35" spans="2:10" ht="20.100000000000001" customHeight="1">
      <c r="B35" s="234">
        <v>2</v>
      </c>
      <c r="C35" s="234" t="s">
        <v>369</v>
      </c>
      <c r="D35" s="48">
        <f t="shared" si="1"/>
        <v>3570.212389380531</v>
      </c>
      <c r="E35" s="47">
        <f t="shared" ref="E35:G37" si="8">E25-E30</f>
        <v>1428.0849557522124</v>
      </c>
      <c r="F35" s="47">
        <f t="shared" si="8"/>
        <v>1071.0637168141593</v>
      </c>
      <c r="G35" s="47">
        <f t="shared" si="8"/>
        <v>1071.0637168141593</v>
      </c>
      <c r="H35"/>
      <c r="I35"/>
      <c r="J35"/>
    </row>
    <row r="36" spans="2:10" ht="20.100000000000001" customHeight="1">
      <c r="B36" s="234">
        <v>3</v>
      </c>
      <c r="C36" s="234" t="s">
        <v>52</v>
      </c>
      <c r="D36" s="48">
        <f t="shared" si="1"/>
        <v>10008.715044247789</v>
      </c>
      <c r="E36" s="47">
        <f t="shared" si="8"/>
        <v>6918.6</v>
      </c>
      <c r="F36" s="47">
        <f t="shared" si="8"/>
        <v>1545.0575221238937</v>
      </c>
      <c r="G36" s="47">
        <f t="shared" si="8"/>
        <v>1545.0575221238937</v>
      </c>
      <c r="I36"/>
      <c r="J36"/>
    </row>
    <row r="37" spans="2:10" ht="20.100000000000001" customHeight="1">
      <c r="B37" s="234">
        <v>4</v>
      </c>
      <c r="C37" s="234" t="s">
        <v>20</v>
      </c>
      <c r="D37" s="48">
        <f t="shared" si="1"/>
        <v>2935.2385321100919</v>
      </c>
      <c r="E37" s="47">
        <f t="shared" si="8"/>
        <v>1174.0954128440369</v>
      </c>
      <c r="F37" s="47">
        <f t="shared" si="8"/>
        <v>880.57155963302762</v>
      </c>
      <c r="G37" s="47">
        <f t="shared" si="8"/>
        <v>880.57155963302762</v>
      </c>
    </row>
    <row r="38" spans="2:10" ht="20.100000000000001" customHeight="1"/>
  </sheetData>
  <mergeCells count="5">
    <mergeCell ref="B2:E2"/>
    <mergeCell ref="B21:B22"/>
    <mergeCell ref="C21:C22"/>
    <mergeCell ref="D21:D22"/>
    <mergeCell ref="E21:G21"/>
  </mergeCells>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workbookViewId="0">
      <selection activeCell="F21" sqref="F21"/>
    </sheetView>
  </sheetViews>
  <sheetFormatPr defaultColWidth="11" defaultRowHeight="15.6"/>
  <cols>
    <col min="3" max="3" width="14.6328125" customWidth="1"/>
  </cols>
  <sheetData>
    <row r="1" spans="2:5" ht="16.2" thickBot="1"/>
    <row r="2" spans="2:5">
      <c r="B2" s="499" t="s">
        <v>55</v>
      </c>
      <c r="C2" s="500"/>
      <c r="D2" s="500"/>
      <c r="E2" s="501"/>
    </row>
    <row r="3" spans="2:5">
      <c r="B3" s="8" t="s">
        <v>56</v>
      </c>
      <c r="C3" s="9" t="s">
        <v>57</v>
      </c>
      <c r="D3" s="9" t="s">
        <v>58</v>
      </c>
      <c r="E3" s="10" t="s">
        <v>59</v>
      </c>
    </row>
    <row r="4" spans="2:5">
      <c r="B4" s="11">
        <v>1</v>
      </c>
      <c r="C4" s="12" t="s">
        <v>60</v>
      </c>
      <c r="D4" s="13">
        <v>0.09</v>
      </c>
      <c r="E4" s="14"/>
    </row>
    <row r="5" spans="2:5">
      <c r="B5" s="11">
        <v>2</v>
      </c>
      <c r="C5" s="12" t="s">
        <v>61</v>
      </c>
      <c r="D5" s="13">
        <v>0.09</v>
      </c>
      <c r="E5" s="14"/>
    </row>
    <row r="6" spans="2:5">
      <c r="B6" s="11">
        <v>3</v>
      </c>
      <c r="C6" s="12" t="s">
        <v>62</v>
      </c>
      <c r="D6" s="13">
        <v>0.13</v>
      </c>
      <c r="E6" s="14"/>
    </row>
    <row r="7" spans="2:5">
      <c r="B7" s="11">
        <v>4</v>
      </c>
      <c r="C7" s="12" t="s">
        <v>63</v>
      </c>
      <c r="D7" s="13">
        <v>0.13</v>
      </c>
      <c r="E7" s="14"/>
    </row>
    <row r="8" spans="2:5">
      <c r="B8" s="11">
        <v>5</v>
      </c>
      <c r="C8" s="12" t="s">
        <v>64</v>
      </c>
      <c r="D8" s="13">
        <v>0.06</v>
      </c>
      <c r="E8" s="14"/>
    </row>
    <row r="9" spans="2:5">
      <c r="B9" s="11">
        <v>6</v>
      </c>
      <c r="C9" s="12" t="s">
        <v>53</v>
      </c>
      <c r="D9" s="13">
        <v>0.09</v>
      </c>
      <c r="E9" s="14"/>
    </row>
    <row r="10" spans="2:5">
      <c r="B10" s="11">
        <v>7</v>
      </c>
      <c r="C10" s="12" t="s">
        <v>65</v>
      </c>
      <c r="D10" s="13">
        <v>7.0000000000000007E-2</v>
      </c>
      <c r="E10" s="14"/>
    </row>
    <row r="11" spans="2:5">
      <c r="B11" s="11">
        <v>8</v>
      </c>
      <c r="C11" s="12" t="s">
        <v>66</v>
      </c>
      <c r="D11" s="13">
        <v>0.03</v>
      </c>
      <c r="E11" s="14"/>
    </row>
    <row r="12" spans="2:5">
      <c r="B12" s="11">
        <v>9</v>
      </c>
      <c r="C12" s="12" t="s">
        <v>67</v>
      </c>
      <c r="D12" s="13">
        <v>0.02</v>
      </c>
      <c r="E12" s="14"/>
    </row>
    <row r="13" spans="2:5">
      <c r="B13" s="11">
        <v>10</v>
      </c>
      <c r="C13" s="12" t="s">
        <v>68</v>
      </c>
      <c r="D13" s="13">
        <v>1E-3</v>
      </c>
      <c r="E13" s="14"/>
    </row>
    <row r="14" spans="2:5">
      <c r="B14" s="11">
        <v>11</v>
      </c>
      <c r="C14" s="12" t="s">
        <v>69</v>
      </c>
      <c r="D14" s="13">
        <v>0.12</v>
      </c>
      <c r="E14" s="14"/>
    </row>
    <row r="15" spans="2:5">
      <c r="B15" s="11">
        <v>12</v>
      </c>
      <c r="C15" s="12" t="s">
        <v>70</v>
      </c>
      <c r="D15" s="13">
        <v>0.06</v>
      </c>
      <c r="E15" s="14"/>
    </row>
    <row r="16" spans="2:5">
      <c r="B16" s="11">
        <v>13</v>
      </c>
      <c r="C16" s="12" t="s">
        <v>71</v>
      </c>
      <c r="D16" s="13">
        <v>0.09</v>
      </c>
      <c r="E16" s="15"/>
    </row>
    <row r="17" spans="2:5">
      <c r="B17" s="11">
        <v>14</v>
      </c>
      <c r="C17" s="12" t="s">
        <v>72</v>
      </c>
      <c r="D17" s="13">
        <v>0.06</v>
      </c>
      <c r="E17" s="15"/>
    </row>
    <row r="18" spans="2:5" ht="16.2" thickBot="1">
      <c r="B18" s="16">
        <v>15</v>
      </c>
      <c r="C18" s="17" t="s">
        <v>73</v>
      </c>
      <c r="D18" s="18">
        <v>0.06</v>
      </c>
      <c r="E18" s="6"/>
    </row>
  </sheetData>
  <mergeCells count="1">
    <mergeCell ref="B2:E2"/>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8"/>
  <sheetViews>
    <sheetView topLeftCell="O7" workbookViewId="0">
      <selection activeCell="D45" sqref="D45:H45"/>
    </sheetView>
  </sheetViews>
  <sheetFormatPr defaultColWidth="11" defaultRowHeight="17.399999999999999"/>
  <cols>
    <col min="2" max="2" width="10.90625" style="27"/>
    <col min="3" max="3" width="20.36328125" style="27" bestFit="1" customWidth="1"/>
    <col min="4" max="4" width="22.90625" style="27" bestFit="1" customWidth="1"/>
    <col min="5" max="5" width="11.08984375" style="27" bestFit="1" customWidth="1"/>
    <col min="6" max="22" width="12.453125" style="27" bestFit="1" customWidth="1"/>
    <col min="23" max="24" width="12.453125" bestFit="1" customWidth="1"/>
    <col min="25" max="27" width="11.36328125" bestFit="1" customWidth="1"/>
  </cols>
  <sheetData>
    <row r="2" spans="2:27">
      <c r="B2" s="187" t="s">
        <v>372</v>
      </c>
    </row>
    <row r="3" spans="2:27" ht="24.9" customHeight="1">
      <c r="B3" s="60" t="s">
        <v>339</v>
      </c>
      <c r="C3" s="50"/>
      <c r="D3" s="50"/>
      <c r="E3" s="50"/>
      <c r="F3" s="54"/>
      <c r="G3" s="54" t="s">
        <v>81</v>
      </c>
      <c r="H3" s="54" t="s">
        <v>81</v>
      </c>
      <c r="I3" s="54" t="s">
        <v>81</v>
      </c>
      <c r="J3" s="54" t="s">
        <v>81</v>
      </c>
      <c r="K3" s="54" t="s">
        <v>81</v>
      </c>
      <c r="L3" s="54" t="s">
        <v>81</v>
      </c>
      <c r="M3" s="54" t="s">
        <v>81</v>
      </c>
      <c r="N3" s="54" t="s">
        <v>81</v>
      </c>
      <c r="O3" s="54" t="s">
        <v>81</v>
      </c>
      <c r="P3" s="54" t="s">
        <v>81</v>
      </c>
      <c r="Q3" s="54" t="s">
        <v>81</v>
      </c>
      <c r="R3" s="50"/>
      <c r="S3" s="50"/>
      <c r="T3" s="55"/>
      <c r="U3" s="56"/>
    </row>
    <row r="4" spans="2:27" ht="24.9" customHeight="1">
      <c r="B4" s="503" t="s">
        <v>0</v>
      </c>
      <c r="C4" s="503" t="s">
        <v>100</v>
      </c>
      <c r="D4" s="504" t="s">
        <v>115</v>
      </c>
      <c r="E4" s="502" t="s">
        <v>82</v>
      </c>
      <c r="F4" s="502"/>
      <c r="G4" s="502"/>
      <c r="H4" s="502"/>
      <c r="I4" s="502"/>
      <c r="J4" s="502"/>
      <c r="K4" s="502"/>
      <c r="L4" s="502"/>
      <c r="M4" s="502"/>
      <c r="N4" s="502"/>
      <c r="O4" s="502"/>
      <c r="P4" s="502"/>
      <c r="Q4" s="502"/>
      <c r="R4" s="502"/>
      <c r="S4" s="502"/>
      <c r="T4" s="502"/>
      <c r="U4" s="502"/>
      <c r="V4" s="502"/>
      <c r="W4" s="502"/>
      <c r="X4" s="502"/>
      <c r="Y4" s="502"/>
      <c r="Z4" s="502"/>
      <c r="AA4" s="502"/>
    </row>
    <row r="5" spans="2:27" ht="24.9" customHeight="1">
      <c r="B5" s="503"/>
      <c r="C5" s="503"/>
      <c r="D5" s="504"/>
      <c r="E5" s="51">
        <f>COLUMN()-4</f>
        <v>1</v>
      </c>
      <c r="F5" s="51">
        <f t="shared" ref="F5:AA5" si="0">COLUMN()-4</f>
        <v>2</v>
      </c>
      <c r="G5" s="51">
        <f t="shared" si="0"/>
        <v>3</v>
      </c>
      <c r="H5" s="51">
        <f t="shared" si="0"/>
        <v>4</v>
      </c>
      <c r="I5" s="51">
        <f t="shared" si="0"/>
        <v>5</v>
      </c>
      <c r="J5" s="51">
        <f t="shared" si="0"/>
        <v>6</v>
      </c>
      <c r="K5" s="51">
        <f t="shared" si="0"/>
        <v>7</v>
      </c>
      <c r="L5" s="51">
        <f t="shared" si="0"/>
        <v>8</v>
      </c>
      <c r="M5" s="51">
        <f t="shared" si="0"/>
        <v>9</v>
      </c>
      <c r="N5" s="51">
        <f t="shared" si="0"/>
        <v>10</v>
      </c>
      <c r="O5" s="51">
        <f t="shared" si="0"/>
        <v>11</v>
      </c>
      <c r="P5" s="51">
        <f t="shared" si="0"/>
        <v>12</v>
      </c>
      <c r="Q5" s="51">
        <f t="shared" si="0"/>
        <v>13</v>
      </c>
      <c r="R5" s="51">
        <f t="shared" si="0"/>
        <v>14</v>
      </c>
      <c r="S5" s="51">
        <f t="shared" si="0"/>
        <v>15</v>
      </c>
      <c r="T5" s="51">
        <f t="shared" si="0"/>
        <v>16</v>
      </c>
      <c r="U5" s="51">
        <f t="shared" si="0"/>
        <v>17</v>
      </c>
      <c r="V5" s="51">
        <f t="shared" si="0"/>
        <v>18</v>
      </c>
      <c r="W5" s="51">
        <f t="shared" si="0"/>
        <v>19</v>
      </c>
      <c r="X5" s="51">
        <f t="shared" si="0"/>
        <v>20</v>
      </c>
      <c r="Y5" s="51">
        <f t="shared" si="0"/>
        <v>21</v>
      </c>
      <c r="Z5" s="51">
        <f t="shared" si="0"/>
        <v>22</v>
      </c>
      <c r="AA5" s="51">
        <f t="shared" si="0"/>
        <v>23</v>
      </c>
    </row>
    <row r="6" spans="2:27" ht="24.9" customHeight="1">
      <c r="B6" s="25" t="s">
        <v>76</v>
      </c>
      <c r="C6" s="25" t="s">
        <v>340</v>
      </c>
      <c r="D6" s="57"/>
      <c r="E6" s="57"/>
      <c r="F6" s="57"/>
      <c r="G6" s="331"/>
      <c r="H6" s="57">
        <f>'3资产及税金估算表'!D33</f>
        <v>58940.505415279695</v>
      </c>
      <c r="I6" s="57">
        <f>H8</f>
        <v>55993.480144515706</v>
      </c>
      <c r="J6" s="57">
        <f t="shared" ref="J6:V6" si="1">I8</f>
        <v>53046.454873751718</v>
      </c>
      <c r="K6" s="57">
        <f t="shared" si="1"/>
        <v>50099.42960298773</v>
      </c>
      <c r="L6" s="57">
        <f t="shared" si="1"/>
        <v>47152.404332223741</v>
      </c>
      <c r="M6" s="57">
        <f t="shared" si="1"/>
        <v>44205.379061459753</v>
      </c>
      <c r="N6" s="57">
        <f t="shared" si="1"/>
        <v>41258.353790695764</v>
      </c>
      <c r="O6" s="57">
        <f t="shared" si="1"/>
        <v>38311.328519931776</v>
      </c>
      <c r="P6" s="57">
        <f t="shared" si="1"/>
        <v>35364.303249167788</v>
      </c>
      <c r="Q6" s="57">
        <f t="shared" si="1"/>
        <v>32417.277978403803</v>
      </c>
      <c r="R6" s="57">
        <f t="shared" si="1"/>
        <v>29470.252707639818</v>
      </c>
      <c r="S6" s="57">
        <f t="shared" si="1"/>
        <v>26523.227436875834</v>
      </c>
      <c r="T6" s="57">
        <f t="shared" si="1"/>
        <v>23576.202166111849</v>
      </c>
      <c r="U6" s="57">
        <f t="shared" si="1"/>
        <v>20629.176895347864</v>
      </c>
      <c r="V6" s="57">
        <f t="shared" si="1"/>
        <v>17682.151624583879</v>
      </c>
      <c r="W6" s="57">
        <f t="shared" ref="W6" si="2">V8</f>
        <v>14735.126353819895</v>
      </c>
      <c r="X6" s="57">
        <f t="shared" ref="X6" si="3">W8</f>
        <v>11788.10108305591</v>
      </c>
      <c r="Y6" s="57">
        <f t="shared" ref="Y6" si="4">X8</f>
        <v>8841.0758122919251</v>
      </c>
      <c r="Z6" s="57">
        <f t="shared" ref="Z6" si="5">Y8</f>
        <v>5894.0505415279404</v>
      </c>
      <c r="AA6" s="57">
        <f t="shared" ref="AA6" si="6">Z8</f>
        <v>2947.0252707639556</v>
      </c>
    </row>
    <row r="7" spans="2:27" ht="24.9" customHeight="1">
      <c r="B7" s="25" t="s">
        <v>54</v>
      </c>
      <c r="C7" s="25" t="s">
        <v>341</v>
      </c>
      <c r="D7" s="57">
        <f>SUM(E7:AA7)</f>
        <v>58940.505415279724</v>
      </c>
      <c r="E7" s="57"/>
      <c r="F7" s="57"/>
      <c r="G7" s="331"/>
      <c r="H7" s="57">
        <f>H6/20</f>
        <v>2947.0252707639847</v>
      </c>
      <c r="I7" s="57">
        <f>H7</f>
        <v>2947.0252707639847</v>
      </c>
      <c r="J7" s="57">
        <f t="shared" ref="J7:V7" si="7">I7</f>
        <v>2947.0252707639847</v>
      </c>
      <c r="K7" s="57">
        <f t="shared" si="7"/>
        <v>2947.0252707639847</v>
      </c>
      <c r="L7" s="57">
        <f t="shared" si="7"/>
        <v>2947.0252707639847</v>
      </c>
      <c r="M7" s="57">
        <f t="shared" si="7"/>
        <v>2947.0252707639847</v>
      </c>
      <c r="N7" s="57">
        <f t="shared" si="7"/>
        <v>2947.0252707639847</v>
      </c>
      <c r="O7" s="57">
        <f t="shared" si="7"/>
        <v>2947.0252707639847</v>
      </c>
      <c r="P7" s="57">
        <f t="shared" si="7"/>
        <v>2947.0252707639847</v>
      </c>
      <c r="Q7" s="57">
        <f t="shared" si="7"/>
        <v>2947.0252707639847</v>
      </c>
      <c r="R7" s="57">
        <f t="shared" si="7"/>
        <v>2947.0252707639847</v>
      </c>
      <c r="S7" s="57">
        <f t="shared" si="7"/>
        <v>2947.0252707639847</v>
      </c>
      <c r="T7" s="57">
        <f t="shared" si="7"/>
        <v>2947.0252707639847</v>
      </c>
      <c r="U7" s="57">
        <f t="shared" si="7"/>
        <v>2947.0252707639847</v>
      </c>
      <c r="V7" s="57">
        <f t="shared" si="7"/>
        <v>2947.0252707639847</v>
      </c>
      <c r="W7" s="57">
        <f t="shared" ref="W7" si="8">V7</f>
        <v>2947.0252707639847</v>
      </c>
      <c r="X7" s="57">
        <f t="shared" ref="X7" si="9">W7</f>
        <v>2947.0252707639847</v>
      </c>
      <c r="Y7" s="57">
        <f t="shared" ref="Y7" si="10">X7</f>
        <v>2947.0252707639847</v>
      </c>
      <c r="Z7" s="57">
        <f t="shared" ref="Z7" si="11">Y7</f>
        <v>2947.0252707639847</v>
      </c>
      <c r="AA7" s="57">
        <f t="shared" ref="AA7" si="12">Z7</f>
        <v>2947.0252707639847</v>
      </c>
    </row>
    <row r="8" spans="2:27" ht="24.9" customHeight="1">
      <c r="B8" s="25" t="s">
        <v>187</v>
      </c>
      <c r="C8" s="25" t="s">
        <v>226</v>
      </c>
      <c r="D8" s="57"/>
      <c r="E8" s="57"/>
      <c r="F8" s="57"/>
      <c r="G8" s="331"/>
      <c r="H8" s="57">
        <f>H6-H7</f>
        <v>55993.480144515706</v>
      </c>
      <c r="I8" s="57">
        <f t="shared" ref="I8:AA8" si="13">I6-I7</f>
        <v>53046.454873751718</v>
      </c>
      <c r="J8" s="57">
        <f t="shared" si="13"/>
        <v>50099.42960298773</v>
      </c>
      <c r="K8" s="57">
        <f t="shared" si="13"/>
        <v>47152.404332223741</v>
      </c>
      <c r="L8" s="57">
        <f t="shared" si="13"/>
        <v>44205.379061459753</v>
      </c>
      <c r="M8" s="57">
        <f t="shared" si="13"/>
        <v>41258.353790695764</v>
      </c>
      <c r="N8" s="57">
        <f t="shared" si="13"/>
        <v>38311.328519931776</v>
      </c>
      <c r="O8" s="57">
        <f t="shared" si="13"/>
        <v>35364.303249167788</v>
      </c>
      <c r="P8" s="57">
        <f t="shared" si="13"/>
        <v>32417.277978403803</v>
      </c>
      <c r="Q8" s="57">
        <f t="shared" si="13"/>
        <v>29470.252707639818</v>
      </c>
      <c r="R8" s="57">
        <f t="shared" si="13"/>
        <v>26523.227436875834</v>
      </c>
      <c r="S8" s="57">
        <f t="shared" si="13"/>
        <v>23576.202166111849</v>
      </c>
      <c r="T8" s="57">
        <f t="shared" si="13"/>
        <v>20629.176895347864</v>
      </c>
      <c r="U8" s="57">
        <f t="shared" si="13"/>
        <v>17682.151624583879</v>
      </c>
      <c r="V8" s="57">
        <f t="shared" si="13"/>
        <v>14735.126353819895</v>
      </c>
      <c r="W8" s="57">
        <f t="shared" si="13"/>
        <v>11788.10108305591</v>
      </c>
      <c r="X8" s="57">
        <f t="shared" si="13"/>
        <v>8841.0758122919251</v>
      </c>
      <c r="Y8" s="57">
        <f t="shared" si="13"/>
        <v>5894.0505415279404</v>
      </c>
      <c r="Z8" s="57">
        <f t="shared" si="13"/>
        <v>2947.0252707639556</v>
      </c>
      <c r="AA8" s="57">
        <f t="shared" si="13"/>
        <v>-2.9103830456733704E-11</v>
      </c>
    </row>
    <row r="9" spans="2:27" ht="24.9" customHeight="1">
      <c r="B9" s="53"/>
      <c r="C9" s="53"/>
      <c r="D9" s="191">
        <f>'3资产及税金估算表'!D33</f>
        <v>58940.505415279695</v>
      </c>
      <c r="E9" s="53"/>
      <c r="F9" s="53"/>
      <c r="G9" s="53"/>
      <c r="H9" s="53"/>
      <c r="I9" s="53"/>
      <c r="J9" s="53"/>
      <c r="K9" s="53"/>
      <c r="L9" s="53"/>
      <c r="M9" s="53"/>
      <c r="N9" s="53"/>
      <c r="O9" s="53"/>
      <c r="P9" s="53"/>
      <c r="Q9" s="53"/>
      <c r="R9" s="53"/>
      <c r="S9" s="50"/>
      <c r="T9" s="50"/>
      <c r="U9" s="56"/>
    </row>
    <row r="10" spans="2:27" ht="24.9" customHeight="1">
      <c r="B10" s="60" t="s">
        <v>342</v>
      </c>
      <c r="C10" s="50"/>
      <c r="D10" s="269" t="s">
        <v>503</v>
      </c>
      <c r="E10" s="50"/>
      <c r="F10" s="54" t="s">
        <v>81</v>
      </c>
      <c r="G10" s="54" t="s">
        <v>81</v>
      </c>
      <c r="H10" s="54" t="s">
        <v>81</v>
      </c>
      <c r="I10" s="54" t="s">
        <v>81</v>
      </c>
      <c r="J10" s="54" t="s">
        <v>81</v>
      </c>
      <c r="K10" s="54" t="s">
        <v>81</v>
      </c>
      <c r="L10" s="54" t="s">
        <v>81</v>
      </c>
      <c r="M10" s="54" t="s">
        <v>81</v>
      </c>
      <c r="N10" s="54" t="s">
        <v>81</v>
      </c>
      <c r="O10" s="54" t="s">
        <v>81</v>
      </c>
      <c r="P10" s="54" t="s">
        <v>81</v>
      </c>
      <c r="Q10" s="54" t="s">
        <v>81</v>
      </c>
      <c r="R10" s="50"/>
      <c r="S10" s="50"/>
      <c r="T10" s="55"/>
      <c r="U10" s="56"/>
    </row>
    <row r="11" spans="2:27" ht="24.9" customHeight="1">
      <c r="B11" s="503" t="s">
        <v>0</v>
      </c>
      <c r="C11" s="503" t="s">
        <v>100</v>
      </c>
      <c r="D11" s="504" t="s">
        <v>115</v>
      </c>
      <c r="E11" s="502" t="s">
        <v>82</v>
      </c>
      <c r="F11" s="502"/>
      <c r="G11" s="502"/>
      <c r="H11" s="502"/>
      <c r="I11" s="502"/>
      <c r="J11" s="502"/>
      <c r="K11" s="502"/>
      <c r="L11" s="502"/>
      <c r="M11" s="502"/>
      <c r="N11" s="502"/>
      <c r="O11" s="502"/>
      <c r="P11" s="502"/>
      <c r="Q11" s="502"/>
      <c r="R11" s="502"/>
      <c r="S11" s="502"/>
      <c r="T11" s="502"/>
      <c r="U11" s="502"/>
      <c r="V11" s="502"/>
      <c r="W11" s="502"/>
      <c r="X11" s="502"/>
      <c r="Y11" s="502"/>
      <c r="Z11" s="502"/>
      <c r="AA11" s="502"/>
    </row>
    <row r="12" spans="2:27" ht="24.9" customHeight="1">
      <c r="B12" s="503"/>
      <c r="C12" s="503"/>
      <c r="D12" s="504"/>
      <c r="E12" s="51">
        <f>COLUMN()-4</f>
        <v>1</v>
      </c>
      <c r="F12" s="51">
        <f t="shared" ref="F12:AA12" si="14">COLUMN()-4</f>
        <v>2</v>
      </c>
      <c r="G12" s="51">
        <f t="shared" si="14"/>
        <v>3</v>
      </c>
      <c r="H12" s="51">
        <f t="shared" si="14"/>
        <v>4</v>
      </c>
      <c r="I12" s="51">
        <f t="shared" si="14"/>
        <v>5</v>
      </c>
      <c r="J12" s="51">
        <f t="shared" si="14"/>
        <v>6</v>
      </c>
      <c r="K12" s="51">
        <f t="shared" si="14"/>
        <v>7</v>
      </c>
      <c r="L12" s="51">
        <f t="shared" si="14"/>
        <v>8</v>
      </c>
      <c r="M12" s="51">
        <f t="shared" si="14"/>
        <v>9</v>
      </c>
      <c r="N12" s="51">
        <f t="shared" si="14"/>
        <v>10</v>
      </c>
      <c r="O12" s="51">
        <f t="shared" si="14"/>
        <v>11</v>
      </c>
      <c r="P12" s="51">
        <f t="shared" si="14"/>
        <v>12</v>
      </c>
      <c r="Q12" s="51">
        <f t="shared" si="14"/>
        <v>13</v>
      </c>
      <c r="R12" s="51">
        <f t="shared" si="14"/>
        <v>14</v>
      </c>
      <c r="S12" s="51">
        <f t="shared" si="14"/>
        <v>15</v>
      </c>
      <c r="T12" s="51">
        <f t="shared" si="14"/>
        <v>16</v>
      </c>
      <c r="U12" s="51">
        <f t="shared" si="14"/>
        <v>17</v>
      </c>
      <c r="V12" s="51">
        <f t="shared" si="14"/>
        <v>18</v>
      </c>
      <c r="W12" s="51">
        <f t="shared" si="14"/>
        <v>19</v>
      </c>
      <c r="X12" s="51">
        <f t="shared" si="14"/>
        <v>20</v>
      </c>
      <c r="Y12" s="51">
        <f t="shared" si="14"/>
        <v>21</v>
      </c>
      <c r="Z12" s="51">
        <f t="shared" si="14"/>
        <v>22</v>
      </c>
      <c r="AA12" s="51">
        <f t="shared" si="14"/>
        <v>23</v>
      </c>
    </row>
    <row r="13" spans="2:27" ht="24.9" customHeight="1">
      <c r="B13" s="25" t="s">
        <v>76</v>
      </c>
      <c r="C13" s="25" t="s">
        <v>340</v>
      </c>
      <c r="D13" s="57"/>
      <c r="E13" s="57"/>
      <c r="F13" s="57"/>
      <c r="G13" s="57"/>
      <c r="H13" s="57">
        <f ca="1">'1投资估算'!D12</f>
        <v>4483.148971327968</v>
      </c>
      <c r="I13" s="57">
        <f ca="1">H15</f>
        <v>4258.9915227615693</v>
      </c>
      <c r="J13" s="57">
        <f t="shared" ref="J13:V13" ca="1" si="15">I15</f>
        <v>4034.8340741951711</v>
      </c>
      <c r="K13" s="57">
        <f t="shared" ca="1" si="15"/>
        <v>3810.6766256287729</v>
      </c>
      <c r="L13" s="57">
        <f t="shared" ca="1" si="15"/>
        <v>3586.5191770623746</v>
      </c>
      <c r="M13" s="57">
        <f t="shared" ca="1" si="15"/>
        <v>3362.3617284959764</v>
      </c>
      <c r="N13" s="57">
        <f t="shared" ca="1" si="15"/>
        <v>3138.2042799295782</v>
      </c>
      <c r="O13" s="57">
        <f t="shared" ca="1" si="15"/>
        <v>2914.04683136318</v>
      </c>
      <c r="P13" s="57">
        <f t="shared" ca="1" si="15"/>
        <v>2689.8893827967818</v>
      </c>
      <c r="Q13" s="57">
        <f t="shared" ca="1" si="15"/>
        <v>2465.7319342303836</v>
      </c>
      <c r="R13" s="57">
        <f t="shared" ca="1" si="15"/>
        <v>2241.5744856639853</v>
      </c>
      <c r="S13" s="57">
        <f t="shared" ca="1" si="15"/>
        <v>2017.4170370975869</v>
      </c>
      <c r="T13" s="57">
        <f t="shared" ca="1" si="15"/>
        <v>1793.2595885311885</v>
      </c>
      <c r="U13" s="57">
        <f t="shared" ca="1" si="15"/>
        <v>1569.10213996479</v>
      </c>
      <c r="V13" s="57">
        <f t="shared" ca="1" si="15"/>
        <v>1344.9446913983916</v>
      </c>
      <c r="W13" s="57">
        <f t="shared" ref="W13" ca="1" si="16">V15</f>
        <v>1120.7872428319931</v>
      </c>
      <c r="X13" s="57">
        <f t="shared" ref="X13" ca="1" si="17">W15</f>
        <v>896.62979426559468</v>
      </c>
      <c r="Y13" s="57">
        <f t="shared" ref="Y13" ca="1" si="18">X15</f>
        <v>672.47234569919624</v>
      </c>
      <c r="Z13" s="57">
        <f t="shared" ref="Z13" ca="1" si="19">Y15</f>
        <v>448.31489713279785</v>
      </c>
      <c r="AA13" s="57">
        <f t="shared" ref="AA13" ca="1" si="20">Z15</f>
        <v>224.15744856639947</v>
      </c>
    </row>
    <row r="14" spans="2:27" ht="24.9" customHeight="1">
      <c r="B14" s="25" t="s">
        <v>54</v>
      </c>
      <c r="C14" s="25" t="s">
        <v>343</v>
      </c>
      <c r="D14" s="57">
        <f ca="1">SUM(E14:AA14)</f>
        <v>4483.148971327967</v>
      </c>
      <c r="E14" s="57"/>
      <c r="F14" s="57"/>
      <c r="G14" s="57"/>
      <c r="H14" s="57">
        <f ca="1">H13/20</f>
        <v>224.15744856639839</v>
      </c>
      <c r="I14" s="57">
        <f ca="1">H14</f>
        <v>224.15744856639839</v>
      </c>
      <c r="J14" s="57">
        <f t="shared" ref="J14:V14" ca="1" si="21">I14</f>
        <v>224.15744856639839</v>
      </c>
      <c r="K14" s="57">
        <f t="shared" ca="1" si="21"/>
        <v>224.15744856639839</v>
      </c>
      <c r="L14" s="57">
        <f t="shared" ca="1" si="21"/>
        <v>224.15744856639839</v>
      </c>
      <c r="M14" s="57">
        <f t="shared" ca="1" si="21"/>
        <v>224.15744856639839</v>
      </c>
      <c r="N14" s="57">
        <f t="shared" ca="1" si="21"/>
        <v>224.15744856639839</v>
      </c>
      <c r="O14" s="57">
        <f t="shared" ca="1" si="21"/>
        <v>224.15744856639839</v>
      </c>
      <c r="P14" s="57">
        <f t="shared" ca="1" si="21"/>
        <v>224.15744856639839</v>
      </c>
      <c r="Q14" s="57">
        <f t="shared" ca="1" si="21"/>
        <v>224.15744856639839</v>
      </c>
      <c r="R14" s="57">
        <f t="shared" ca="1" si="21"/>
        <v>224.15744856639839</v>
      </c>
      <c r="S14" s="57">
        <f t="shared" ca="1" si="21"/>
        <v>224.15744856639839</v>
      </c>
      <c r="T14" s="57">
        <f t="shared" ca="1" si="21"/>
        <v>224.15744856639839</v>
      </c>
      <c r="U14" s="57">
        <f t="shared" ca="1" si="21"/>
        <v>224.15744856639839</v>
      </c>
      <c r="V14" s="57">
        <f t="shared" ca="1" si="21"/>
        <v>224.15744856639839</v>
      </c>
      <c r="W14" s="57">
        <f t="shared" ref="W14" ca="1" si="22">V14</f>
        <v>224.15744856639839</v>
      </c>
      <c r="X14" s="57">
        <f t="shared" ref="X14" ca="1" si="23">W14</f>
        <v>224.15744856639839</v>
      </c>
      <c r="Y14" s="57">
        <f t="shared" ref="Y14" ca="1" si="24">X14</f>
        <v>224.15744856639839</v>
      </c>
      <c r="Z14" s="57">
        <f t="shared" ref="Z14" ca="1" si="25">Y14</f>
        <v>224.15744856639839</v>
      </c>
      <c r="AA14" s="57">
        <f t="shared" ref="AA14" ca="1" si="26">Z14</f>
        <v>224.15744856639839</v>
      </c>
    </row>
    <row r="15" spans="2:27" ht="24.9" customHeight="1">
      <c r="B15" s="25" t="s">
        <v>187</v>
      </c>
      <c r="C15" s="25" t="s">
        <v>226</v>
      </c>
      <c r="D15" s="57"/>
      <c r="E15" s="57"/>
      <c r="F15" s="57"/>
      <c r="G15" s="57"/>
      <c r="H15" s="57">
        <f ca="1">H13-H14</f>
        <v>4258.9915227615693</v>
      </c>
      <c r="I15" s="57">
        <f ca="1">I13-I14</f>
        <v>4034.8340741951711</v>
      </c>
      <c r="J15" s="57">
        <f t="shared" ref="J15:V15" ca="1" si="27">J13-J14</f>
        <v>3810.6766256287729</v>
      </c>
      <c r="K15" s="57">
        <f t="shared" ca="1" si="27"/>
        <v>3586.5191770623746</v>
      </c>
      <c r="L15" s="57">
        <f t="shared" ca="1" si="27"/>
        <v>3362.3617284959764</v>
      </c>
      <c r="M15" s="57">
        <f t="shared" ca="1" si="27"/>
        <v>3138.2042799295782</v>
      </c>
      <c r="N15" s="57">
        <f t="shared" ca="1" si="27"/>
        <v>2914.04683136318</v>
      </c>
      <c r="O15" s="57">
        <f t="shared" ca="1" si="27"/>
        <v>2689.8893827967818</v>
      </c>
      <c r="P15" s="57">
        <f t="shared" ca="1" si="27"/>
        <v>2465.7319342303836</v>
      </c>
      <c r="Q15" s="57">
        <f t="shared" ca="1" si="27"/>
        <v>2241.5744856639853</v>
      </c>
      <c r="R15" s="57">
        <f t="shared" ca="1" si="27"/>
        <v>2017.4170370975869</v>
      </c>
      <c r="S15" s="57">
        <f t="shared" ca="1" si="27"/>
        <v>1793.2595885311885</v>
      </c>
      <c r="T15" s="57">
        <f t="shared" ca="1" si="27"/>
        <v>1569.10213996479</v>
      </c>
      <c r="U15" s="57">
        <f t="shared" ca="1" si="27"/>
        <v>1344.9446913983916</v>
      </c>
      <c r="V15" s="57">
        <f t="shared" ca="1" si="27"/>
        <v>1120.7872428319931</v>
      </c>
      <c r="W15" s="57">
        <f t="shared" ref="W15:AA15" ca="1" si="28">W13-W14</f>
        <v>896.62979426559468</v>
      </c>
      <c r="X15" s="57">
        <f t="shared" ca="1" si="28"/>
        <v>672.47234569919624</v>
      </c>
      <c r="Y15" s="57">
        <f t="shared" ca="1" si="28"/>
        <v>448.31489713279785</v>
      </c>
      <c r="Z15" s="57">
        <f t="shared" ca="1" si="28"/>
        <v>224.15744856639947</v>
      </c>
      <c r="AA15" s="57">
        <f t="shared" ca="1" si="28"/>
        <v>1.0800249583553523E-12</v>
      </c>
    </row>
    <row r="16" spans="2:27" ht="24.9" customHeight="1">
      <c r="B16" s="56"/>
      <c r="C16" s="56"/>
      <c r="D16" s="58">
        <f ca="1">'2投资计划表'!H16</f>
        <v>4483.148971327968</v>
      </c>
      <c r="E16" s="56"/>
      <c r="F16" s="56"/>
      <c r="G16" s="56"/>
      <c r="H16" s="56"/>
      <c r="I16" s="56"/>
      <c r="J16" s="56"/>
      <c r="K16" s="56"/>
      <c r="L16" s="56"/>
      <c r="M16" s="56"/>
      <c r="N16" s="56"/>
      <c r="O16" s="56"/>
      <c r="P16" s="56"/>
      <c r="Q16" s="56"/>
      <c r="R16" s="56"/>
      <c r="S16" s="56"/>
      <c r="T16" s="56"/>
      <c r="U16" s="56"/>
    </row>
    <row r="17" spans="2:27" ht="24.9" customHeight="1">
      <c r="B17" s="60" t="s">
        <v>344</v>
      </c>
      <c r="C17" s="56"/>
      <c r="D17" s="56"/>
      <c r="E17" s="56"/>
      <c r="F17" s="56"/>
      <c r="G17" s="56"/>
      <c r="H17" s="56"/>
      <c r="I17" s="56"/>
      <c r="J17" s="56"/>
      <c r="K17" s="56"/>
      <c r="L17" s="56"/>
      <c r="M17" s="56"/>
      <c r="N17" s="56"/>
      <c r="O17" s="56"/>
      <c r="P17" s="56"/>
      <c r="Q17" s="56"/>
      <c r="R17" s="56"/>
      <c r="S17" s="56"/>
      <c r="T17" s="56"/>
      <c r="U17" s="56"/>
    </row>
    <row r="18" spans="2:27" ht="24.9" customHeight="1">
      <c r="B18" s="503" t="s">
        <v>0</v>
      </c>
      <c r="C18" s="503" t="s">
        <v>100</v>
      </c>
      <c r="D18" s="504" t="s">
        <v>115</v>
      </c>
      <c r="E18" s="502" t="s">
        <v>82</v>
      </c>
      <c r="F18" s="502"/>
      <c r="G18" s="502"/>
      <c r="H18" s="502"/>
      <c r="I18" s="502"/>
      <c r="J18" s="502"/>
      <c r="K18" s="502"/>
      <c r="L18" s="502"/>
      <c r="M18" s="502"/>
      <c r="N18" s="502"/>
      <c r="O18" s="502"/>
      <c r="P18" s="502"/>
      <c r="Q18" s="502"/>
      <c r="R18" s="502"/>
      <c r="S18" s="502"/>
      <c r="T18" s="502"/>
      <c r="U18" s="502"/>
      <c r="V18" s="502"/>
      <c r="W18" s="502"/>
      <c r="X18" s="502"/>
      <c r="Y18" s="502"/>
      <c r="Z18" s="502"/>
      <c r="AA18" s="502"/>
    </row>
    <row r="19" spans="2:27" ht="24.9" customHeight="1">
      <c r="B19" s="503"/>
      <c r="C19" s="503"/>
      <c r="D19" s="504"/>
      <c r="E19" s="51">
        <f>COLUMN()-4</f>
        <v>1</v>
      </c>
      <c r="F19" s="51">
        <f t="shared" ref="F19:AA19" si="29">COLUMN()-4</f>
        <v>2</v>
      </c>
      <c r="G19" s="51">
        <f t="shared" si="29"/>
        <v>3</v>
      </c>
      <c r="H19" s="51">
        <f t="shared" si="29"/>
        <v>4</v>
      </c>
      <c r="I19" s="51">
        <f t="shared" si="29"/>
        <v>5</v>
      </c>
      <c r="J19" s="51">
        <f t="shared" si="29"/>
        <v>6</v>
      </c>
      <c r="K19" s="51">
        <f t="shared" si="29"/>
        <v>7</v>
      </c>
      <c r="L19" s="51">
        <f t="shared" si="29"/>
        <v>8</v>
      </c>
      <c r="M19" s="51">
        <f t="shared" si="29"/>
        <v>9</v>
      </c>
      <c r="N19" s="51">
        <f t="shared" si="29"/>
        <v>10</v>
      </c>
      <c r="O19" s="51">
        <f t="shared" si="29"/>
        <v>11</v>
      </c>
      <c r="P19" s="51">
        <f t="shared" si="29"/>
        <v>12</v>
      </c>
      <c r="Q19" s="51">
        <f t="shared" si="29"/>
        <v>13</v>
      </c>
      <c r="R19" s="51">
        <f t="shared" si="29"/>
        <v>14</v>
      </c>
      <c r="S19" s="51">
        <f t="shared" si="29"/>
        <v>15</v>
      </c>
      <c r="T19" s="51">
        <f t="shared" si="29"/>
        <v>16</v>
      </c>
      <c r="U19" s="51">
        <f t="shared" si="29"/>
        <v>17</v>
      </c>
      <c r="V19" s="51">
        <f t="shared" si="29"/>
        <v>18</v>
      </c>
      <c r="W19" s="51">
        <f t="shared" si="29"/>
        <v>19</v>
      </c>
      <c r="X19" s="51">
        <f t="shared" si="29"/>
        <v>20</v>
      </c>
      <c r="Y19" s="51">
        <f t="shared" si="29"/>
        <v>21</v>
      </c>
      <c r="Z19" s="51">
        <f t="shared" si="29"/>
        <v>22</v>
      </c>
      <c r="AA19" s="51">
        <f t="shared" si="29"/>
        <v>23</v>
      </c>
    </row>
    <row r="20" spans="2:27" ht="24.9" customHeight="1">
      <c r="B20" s="25" t="s">
        <v>76</v>
      </c>
      <c r="C20" s="25" t="s">
        <v>340</v>
      </c>
      <c r="D20" s="57"/>
      <c r="E20" s="57"/>
      <c r="F20" s="57"/>
      <c r="G20" s="57"/>
      <c r="H20" s="57">
        <f ca="1">H6+H13-'2投资计划表'!H12</f>
        <v>61372.493217467825</v>
      </c>
      <c r="I20" s="57">
        <f ca="1">H22</f>
        <v>58303.868556594432</v>
      </c>
      <c r="J20" s="57">
        <f t="shared" ref="J20:V20" ca="1" si="30">I22</f>
        <v>55235.24389572104</v>
      </c>
      <c r="K20" s="57">
        <f t="shared" ca="1" si="30"/>
        <v>52166.619234847647</v>
      </c>
      <c r="L20" s="57">
        <f t="shared" ca="1" si="30"/>
        <v>49097.994573974254</v>
      </c>
      <c r="M20" s="57">
        <f t="shared" ca="1" si="30"/>
        <v>46029.369913100862</v>
      </c>
      <c r="N20" s="57">
        <f t="shared" ca="1" si="30"/>
        <v>42960.745252227469</v>
      </c>
      <c r="O20" s="57">
        <f t="shared" ca="1" si="30"/>
        <v>39892.120591354076</v>
      </c>
      <c r="P20" s="57">
        <f t="shared" ca="1" si="30"/>
        <v>36823.495930480683</v>
      </c>
      <c r="Q20" s="57">
        <f t="shared" ca="1" si="30"/>
        <v>33754.871269607291</v>
      </c>
      <c r="R20" s="57">
        <f t="shared" ca="1" si="30"/>
        <v>30686.246608733898</v>
      </c>
      <c r="S20" s="57">
        <f t="shared" ca="1" si="30"/>
        <v>27617.621947860505</v>
      </c>
      <c r="T20" s="57">
        <f t="shared" ca="1" si="30"/>
        <v>24548.997286987113</v>
      </c>
      <c r="U20" s="57">
        <f t="shared" ca="1" si="30"/>
        <v>21480.37262611372</v>
      </c>
      <c r="V20" s="57">
        <f t="shared" ca="1" si="30"/>
        <v>18411.747965240327</v>
      </c>
      <c r="W20" s="57">
        <f t="shared" ref="W20" ca="1" si="31">V22</f>
        <v>15343.123304366936</v>
      </c>
      <c r="X20" s="57">
        <f t="shared" ref="X20" ca="1" si="32">W22</f>
        <v>12274.498643493545</v>
      </c>
      <c r="Y20" s="57">
        <f t="shared" ref="Y20" ca="1" si="33">X22</f>
        <v>9205.8739826201545</v>
      </c>
      <c r="Z20" s="57">
        <f t="shared" ref="Z20" ca="1" si="34">Y22</f>
        <v>6137.2493217467636</v>
      </c>
      <c r="AA20" s="57">
        <f t="shared" ref="AA20" ca="1" si="35">Z22</f>
        <v>3068.6246608733722</v>
      </c>
    </row>
    <row r="21" spans="2:27" ht="24.9" customHeight="1">
      <c r="B21" s="25" t="s">
        <v>54</v>
      </c>
      <c r="C21" s="25" t="s">
        <v>341</v>
      </c>
      <c r="D21" s="57">
        <f ca="1">SUM(E21:AA21)</f>
        <v>61372.493217467847</v>
      </c>
      <c r="E21" s="57"/>
      <c r="F21" s="57"/>
      <c r="G21" s="57"/>
      <c r="H21" s="57">
        <f ca="1">H20/20</f>
        <v>3068.6246608733913</v>
      </c>
      <c r="I21" s="57">
        <f ca="1">H21</f>
        <v>3068.6246608733913</v>
      </c>
      <c r="J21" s="57">
        <f t="shared" ref="J21:V21" ca="1" si="36">I21</f>
        <v>3068.6246608733913</v>
      </c>
      <c r="K21" s="57">
        <f t="shared" ca="1" si="36"/>
        <v>3068.6246608733913</v>
      </c>
      <c r="L21" s="57">
        <f t="shared" ca="1" si="36"/>
        <v>3068.6246608733913</v>
      </c>
      <c r="M21" s="57">
        <f t="shared" ca="1" si="36"/>
        <v>3068.6246608733913</v>
      </c>
      <c r="N21" s="57">
        <f t="shared" ca="1" si="36"/>
        <v>3068.6246608733913</v>
      </c>
      <c r="O21" s="57">
        <f t="shared" ca="1" si="36"/>
        <v>3068.6246608733913</v>
      </c>
      <c r="P21" s="57">
        <f t="shared" ca="1" si="36"/>
        <v>3068.6246608733913</v>
      </c>
      <c r="Q21" s="57">
        <f t="shared" ca="1" si="36"/>
        <v>3068.6246608733913</v>
      </c>
      <c r="R21" s="57">
        <f t="shared" ca="1" si="36"/>
        <v>3068.6246608733913</v>
      </c>
      <c r="S21" s="57">
        <f t="shared" ca="1" si="36"/>
        <v>3068.6246608733913</v>
      </c>
      <c r="T21" s="57">
        <f t="shared" ca="1" si="36"/>
        <v>3068.6246608733913</v>
      </c>
      <c r="U21" s="57">
        <f t="shared" ca="1" si="36"/>
        <v>3068.6246608733913</v>
      </c>
      <c r="V21" s="57">
        <f t="shared" ca="1" si="36"/>
        <v>3068.6246608733913</v>
      </c>
      <c r="W21" s="57">
        <f t="shared" ref="W21" ca="1" si="37">V21</f>
        <v>3068.6246608733913</v>
      </c>
      <c r="X21" s="57">
        <f t="shared" ref="X21" ca="1" si="38">W21</f>
        <v>3068.6246608733913</v>
      </c>
      <c r="Y21" s="57">
        <f t="shared" ref="Y21" ca="1" si="39">X21</f>
        <v>3068.6246608733913</v>
      </c>
      <c r="Z21" s="57">
        <f t="shared" ref="Z21" ca="1" si="40">Y21</f>
        <v>3068.6246608733913</v>
      </c>
      <c r="AA21" s="57">
        <f t="shared" ref="AA21" ca="1" si="41">Z21</f>
        <v>3068.6246608733913</v>
      </c>
    </row>
    <row r="22" spans="2:27" ht="24.9" customHeight="1">
      <c r="B22" s="25" t="s">
        <v>187</v>
      </c>
      <c r="C22" s="25" t="s">
        <v>226</v>
      </c>
      <c r="D22" s="57"/>
      <c r="E22" s="57"/>
      <c r="F22" s="57"/>
      <c r="G22" s="57"/>
      <c r="H22" s="57">
        <f ca="1">H20-H21</f>
        <v>58303.868556594432</v>
      </c>
      <c r="I22" s="57">
        <f ca="1">I20-I21</f>
        <v>55235.24389572104</v>
      </c>
      <c r="J22" s="57">
        <f t="shared" ref="J22:V22" ca="1" si="42">J20-J21</f>
        <v>52166.619234847647</v>
      </c>
      <c r="K22" s="57">
        <f t="shared" ca="1" si="42"/>
        <v>49097.994573974254</v>
      </c>
      <c r="L22" s="57">
        <f t="shared" ca="1" si="42"/>
        <v>46029.369913100862</v>
      </c>
      <c r="M22" s="57">
        <f t="shared" ca="1" si="42"/>
        <v>42960.745252227469</v>
      </c>
      <c r="N22" s="57">
        <f t="shared" ca="1" si="42"/>
        <v>39892.120591354076</v>
      </c>
      <c r="O22" s="57">
        <f t="shared" ca="1" si="42"/>
        <v>36823.495930480683</v>
      </c>
      <c r="P22" s="57">
        <f t="shared" ca="1" si="42"/>
        <v>33754.871269607291</v>
      </c>
      <c r="Q22" s="57">
        <f t="shared" ca="1" si="42"/>
        <v>30686.246608733898</v>
      </c>
      <c r="R22" s="57">
        <f t="shared" ca="1" si="42"/>
        <v>27617.621947860505</v>
      </c>
      <c r="S22" s="57">
        <f t="shared" ca="1" si="42"/>
        <v>24548.997286987113</v>
      </c>
      <c r="T22" s="57">
        <f t="shared" ca="1" si="42"/>
        <v>21480.37262611372</v>
      </c>
      <c r="U22" s="57">
        <f t="shared" ca="1" si="42"/>
        <v>18411.747965240327</v>
      </c>
      <c r="V22" s="57">
        <f t="shared" ca="1" si="42"/>
        <v>15343.123304366936</v>
      </c>
      <c r="W22" s="57">
        <f t="shared" ref="W22:AA22" ca="1" si="43">W20-W21</f>
        <v>12274.498643493545</v>
      </c>
      <c r="X22" s="57">
        <f t="shared" ca="1" si="43"/>
        <v>9205.8739826201545</v>
      </c>
      <c r="Y22" s="57">
        <f t="shared" ca="1" si="43"/>
        <v>6137.2493217467636</v>
      </c>
      <c r="Z22" s="57">
        <f t="shared" ca="1" si="43"/>
        <v>3068.6246608733722</v>
      </c>
      <c r="AA22" s="57">
        <f t="shared" ca="1" si="43"/>
        <v>-1.9099388737231493E-11</v>
      </c>
    </row>
    <row r="23" spans="2:27" ht="24.9" customHeight="1">
      <c r="D23" s="59">
        <f ca="1">'3资产及税金估算表'!D33-'2投资计划表'!H12+'2投资计划表'!H16</f>
        <v>61372.493217467818</v>
      </c>
    </row>
    <row r="24" spans="2:27" ht="24.9" customHeight="1">
      <c r="D24" s="59"/>
    </row>
    <row r="25" spans="2:27" ht="24.9" customHeight="1"/>
    <row r="26" spans="2:27" ht="24.9" customHeight="1"/>
    <row r="27" spans="2:27" ht="24.9" customHeight="1"/>
    <row r="28" spans="2:27" ht="24.9" customHeight="1"/>
  </sheetData>
  <mergeCells count="12">
    <mergeCell ref="E4:AA4"/>
    <mergeCell ref="E11:AA11"/>
    <mergeCell ref="E18:AA18"/>
    <mergeCell ref="B18:B19"/>
    <mergeCell ref="C18:C19"/>
    <mergeCell ref="D18:D19"/>
    <mergeCell ref="B4:B5"/>
    <mergeCell ref="C4:C5"/>
    <mergeCell ref="D4:D5"/>
    <mergeCell ref="B11:B12"/>
    <mergeCell ref="C11:C12"/>
    <mergeCell ref="D11:D12"/>
  </mergeCells>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 defaultRowHeight="15.6"/>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8"/>
  <sheetViews>
    <sheetView topLeftCell="M1" zoomScaleNormal="100" workbookViewId="0">
      <selection activeCell="B8" sqref="B8:AB18"/>
    </sheetView>
  </sheetViews>
  <sheetFormatPr defaultColWidth="11" defaultRowHeight="17.399999999999999"/>
  <cols>
    <col min="2" max="2" width="11.08984375" style="27" bestFit="1" customWidth="1"/>
    <col min="3" max="3" width="16.453125" style="27" bestFit="1" customWidth="1"/>
    <col min="4" max="4" width="11.08984375" style="27" bestFit="1" customWidth="1"/>
    <col min="5" max="5" width="12.453125" style="27" bestFit="1" customWidth="1"/>
    <col min="6" max="7" width="13.36328125" style="27" bestFit="1" customWidth="1"/>
    <col min="8" max="8" width="13.36328125" style="27" customWidth="1"/>
    <col min="9" max="9" width="13.90625" style="27" bestFit="1" customWidth="1"/>
    <col min="10" max="23" width="13.36328125" style="27" bestFit="1" customWidth="1"/>
    <col min="24" max="26" width="12.453125" bestFit="1" customWidth="1"/>
  </cols>
  <sheetData>
    <row r="2" spans="2:28" ht="18" thickBot="1"/>
    <row r="3" spans="2:28">
      <c r="C3" s="225" t="s">
        <v>398</v>
      </c>
      <c r="D3" s="226" t="s">
        <v>399</v>
      </c>
      <c r="E3" s="226" t="s">
        <v>400</v>
      </c>
      <c r="F3" s="339" t="s">
        <v>504</v>
      </c>
    </row>
    <row r="4" spans="2:28" ht="18" thickBot="1">
      <c r="C4" s="227">
        <v>4.5999999999999999E-2</v>
      </c>
      <c r="D4" s="318">
        <f>E4/C4-1</f>
        <v>0.21304347826086967</v>
      </c>
      <c r="E4" s="365">
        <v>5.5800000000000002E-2</v>
      </c>
      <c r="F4" s="366">
        <f>(E4-C4)*10000</f>
        <v>98.000000000000028</v>
      </c>
    </row>
    <row r="7" spans="2:28" ht="24.9" customHeight="1">
      <c r="B7" s="187" t="s">
        <v>372</v>
      </c>
    </row>
    <row r="8" spans="2:28" ht="24.9" customHeight="1">
      <c r="B8" s="503" t="s">
        <v>0</v>
      </c>
      <c r="C8" s="503" t="s">
        <v>83</v>
      </c>
      <c r="D8" s="504" t="s">
        <v>84</v>
      </c>
      <c r="E8" s="504" t="s">
        <v>85</v>
      </c>
      <c r="F8" s="505" t="s">
        <v>75</v>
      </c>
      <c r="G8" s="505"/>
      <c r="H8" s="505"/>
      <c r="I8" s="505" t="s">
        <v>497</v>
      </c>
      <c r="J8" s="505"/>
      <c r="K8" s="505"/>
      <c r="L8" s="505"/>
      <c r="M8" s="505"/>
      <c r="N8" s="505"/>
      <c r="O8" s="505"/>
      <c r="P8" s="505"/>
      <c r="Q8" s="505"/>
      <c r="R8" s="505"/>
      <c r="S8" s="505"/>
      <c r="T8" s="505"/>
      <c r="U8" s="505"/>
      <c r="V8" s="505"/>
      <c r="W8" s="505"/>
      <c r="X8" s="505"/>
      <c r="Y8" s="505"/>
      <c r="Z8" s="505"/>
      <c r="AA8" s="505"/>
      <c r="AB8" s="505"/>
    </row>
    <row r="9" spans="2:28" ht="24.9" customHeight="1">
      <c r="B9" s="503"/>
      <c r="C9" s="503"/>
      <c r="D9" s="504"/>
      <c r="E9" s="504"/>
      <c r="F9" s="334">
        <v>1</v>
      </c>
      <c r="G9" s="334">
        <v>2</v>
      </c>
      <c r="H9" s="334">
        <v>3</v>
      </c>
      <c r="I9" s="334">
        <v>4</v>
      </c>
      <c r="J9" s="334">
        <v>5</v>
      </c>
      <c r="K9" s="334">
        <v>6</v>
      </c>
      <c r="L9" s="334">
        <v>7</v>
      </c>
      <c r="M9" s="334">
        <v>8</v>
      </c>
      <c r="N9" s="334">
        <v>9</v>
      </c>
      <c r="O9" s="334">
        <v>10</v>
      </c>
      <c r="P9" s="334">
        <v>11</v>
      </c>
      <c r="Q9" s="334">
        <v>12</v>
      </c>
      <c r="R9" s="334">
        <v>13</v>
      </c>
      <c r="S9" s="334">
        <v>14</v>
      </c>
      <c r="T9" s="334">
        <v>15</v>
      </c>
      <c r="U9" s="334">
        <v>16</v>
      </c>
      <c r="V9" s="334">
        <v>17</v>
      </c>
      <c r="W9" s="334">
        <v>18</v>
      </c>
      <c r="X9" s="334">
        <v>19</v>
      </c>
      <c r="Y9" s="334">
        <v>20</v>
      </c>
      <c r="Z9" s="334">
        <v>21</v>
      </c>
      <c r="AA9" s="334">
        <v>22</v>
      </c>
      <c r="AB9" s="334">
        <v>23</v>
      </c>
    </row>
    <row r="10" spans="2:28" ht="24.9" customHeight="1">
      <c r="B10" s="340">
        <v>1</v>
      </c>
      <c r="C10" s="68" t="s">
        <v>86</v>
      </c>
      <c r="D10" s="62"/>
      <c r="E10" s="25"/>
      <c r="F10" s="65"/>
      <c r="G10" s="65">
        <f ca="1">F16</f>
        <v>20646.186503709763</v>
      </c>
      <c r="H10" s="65">
        <f ca="1">G16</f>
        <v>37251.613624324076</v>
      </c>
      <c r="I10" s="65">
        <f t="shared" ref="I10:W10" ca="1" si="0">H16</f>
        <v>54697.63117706238</v>
      </c>
      <c r="J10" s="65">
        <f t="shared" ca="1" si="0"/>
        <v>53142.270546081381</v>
      </c>
      <c r="K10" s="65">
        <f t="shared" ca="1" si="0"/>
        <v>51500.120791891641</v>
      </c>
      <c r="L10" s="65">
        <f t="shared" ca="1" si="0"/>
        <v>49766.339081418111</v>
      </c>
      <c r="M10" s="65">
        <f t="shared" ca="1" si="0"/>
        <v>47935.812351500157</v>
      </c>
      <c r="N10" s="65">
        <f t="shared" ca="1" si="0"/>
        <v>46003.142230052785</v>
      </c>
      <c r="O10" s="65">
        <f t="shared" ca="1" si="0"/>
        <v>43962.629115828648</v>
      </c>
      <c r="P10" s="65">
        <f t="shared" ca="1" si="0"/>
        <v>41808.255369830804</v>
      </c>
      <c r="Q10" s="65">
        <f t="shared" ca="1" si="0"/>
        <v>39533.667568806282</v>
      </c>
      <c r="R10" s="65">
        <f t="shared" ca="1" si="0"/>
        <v>37132.157768484591</v>
      </c>
      <c r="S10" s="65">
        <f t="shared" ca="1" si="0"/>
        <v>34596.64372130495</v>
      </c>
      <c r="T10" s="65">
        <f t="shared" ca="1" si="0"/>
        <v>31919.647990292677</v>
      </c>
      <c r="U10" s="65">
        <f t="shared" ca="1" si="0"/>
        <v>29093.275897489926</v>
      </c>
      <c r="V10" s="65">
        <f t="shared" ca="1" si="0"/>
        <v>26109.192241908782</v>
      </c>
      <c r="W10" s="65">
        <f t="shared" ca="1" si="0"/>
        <v>22958.596718346209</v>
      </c>
      <c r="X10" s="65">
        <f t="shared" ref="X10" ca="1" si="1">W16</f>
        <v>19632.197964568844</v>
      </c>
      <c r="Y10" s="65">
        <f t="shared" ref="Y10" ca="1" si="2">X16</f>
        <v>16120.186160330706</v>
      </c>
      <c r="Z10" s="65">
        <f t="shared" ref="Z10" ca="1" si="3">Y16</f>
        <v>12412.204097416079</v>
      </c>
      <c r="AA10" s="65">
        <f t="shared" ref="AA10" ca="1" si="4">Z16</f>
        <v>8497.3166353908146</v>
      </c>
      <c r="AB10" s="65">
        <f t="shared" ref="AB10" ca="1" si="5">AA16</f>
        <v>4363.9784529845392</v>
      </c>
    </row>
    <row r="11" spans="2:28" ht="24.9" customHeight="1">
      <c r="B11" s="340">
        <v>2</v>
      </c>
      <c r="C11" s="68" t="s">
        <v>87</v>
      </c>
      <c r="D11" s="64"/>
      <c r="E11" s="65">
        <f ca="1">F11+G11+H11</f>
        <v>50214.482205734414</v>
      </c>
      <c r="F11" s="65">
        <f ca="1">'2投资计划表'!E15</f>
        <v>20085.792882293768</v>
      </c>
      <c r="G11" s="65">
        <f ca="1">'2投资计划表'!F15</f>
        <v>15064.344661720323</v>
      </c>
      <c r="H11" s="65">
        <f ca="1">'2投资计划表'!G15</f>
        <v>15064.344661720323</v>
      </c>
      <c r="I11" s="65"/>
      <c r="J11" s="65"/>
      <c r="K11" s="65"/>
      <c r="L11" s="65"/>
      <c r="M11" s="65"/>
      <c r="N11" s="65"/>
      <c r="O11" s="65"/>
      <c r="P11" s="65"/>
      <c r="Q11" s="65"/>
      <c r="R11" s="65"/>
      <c r="S11" s="65"/>
      <c r="T11" s="65"/>
      <c r="U11" s="65"/>
      <c r="V11" s="65"/>
      <c r="W11" s="65"/>
      <c r="X11" s="65"/>
      <c r="Y11" s="65"/>
      <c r="Z11" s="65"/>
      <c r="AA11" s="65"/>
      <c r="AB11" s="65"/>
    </row>
    <row r="12" spans="2:28" ht="24.9" customHeight="1">
      <c r="B12" s="340">
        <v>3</v>
      </c>
      <c r="C12" s="68" t="s">
        <v>88</v>
      </c>
      <c r="D12" s="66">
        <v>5.5800000000000002E-2</v>
      </c>
      <c r="E12" s="65">
        <f ca="1">SUM(F12:AB12)</f>
        <v>41935.286807487224</v>
      </c>
      <c r="F12" s="65">
        <f ca="1">'2投资计划表'!E16</f>
        <v>560.39362141599611</v>
      </c>
      <c r="G12" s="65">
        <f ca="1">'2投资计划表'!F16</f>
        <v>1541.082458893989</v>
      </c>
      <c r="H12" s="65">
        <f ca="1">'2投资计划表'!G16</f>
        <v>2381.6728910179827</v>
      </c>
      <c r="I12" s="65">
        <f ca="1">I10*$D$12</f>
        <v>3052.1278196800808</v>
      </c>
      <c r="J12" s="65">
        <f t="shared" ref="J12:W12" ca="1" si="6">J10*$D$12</f>
        <v>2965.3386964713413</v>
      </c>
      <c r="K12" s="65">
        <f t="shared" ca="1" si="6"/>
        <v>2873.7067401875538</v>
      </c>
      <c r="L12" s="65">
        <f t="shared" ca="1" si="6"/>
        <v>2776.9617207431306</v>
      </c>
      <c r="M12" s="65">
        <f t="shared" ca="1" si="6"/>
        <v>2674.8183292137087</v>
      </c>
      <c r="N12" s="65">
        <f t="shared" ca="1" si="6"/>
        <v>2566.9753364369453</v>
      </c>
      <c r="O12" s="65">
        <f t="shared" ca="1" si="6"/>
        <v>2453.1147046632386</v>
      </c>
      <c r="P12" s="65">
        <f t="shared" ca="1" si="6"/>
        <v>2332.9006496365591</v>
      </c>
      <c r="Q12" s="65">
        <f t="shared" ca="1" si="6"/>
        <v>2205.9786503393907</v>
      </c>
      <c r="R12" s="65">
        <f t="shared" ca="1" si="6"/>
        <v>2071.9744034814403</v>
      </c>
      <c r="S12" s="65">
        <f t="shared" ca="1" si="6"/>
        <v>1930.4927196488163</v>
      </c>
      <c r="T12" s="65">
        <f t="shared" ca="1" si="6"/>
        <v>1781.1163578583314</v>
      </c>
      <c r="U12" s="65">
        <f t="shared" ca="1" si="6"/>
        <v>1623.4047950799379</v>
      </c>
      <c r="V12" s="65">
        <f t="shared" ca="1" si="6"/>
        <v>1456.8929270985102</v>
      </c>
      <c r="W12" s="65">
        <f t="shared" ca="1" si="6"/>
        <v>1281.0896968837185</v>
      </c>
      <c r="X12" s="65">
        <f t="shared" ref="X12:AB12" ca="1" si="7">X10*$D$12</f>
        <v>1095.4766464229415</v>
      </c>
      <c r="Y12" s="65">
        <f t="shared" ca="1" si="7"/>
        <v>899.50638774645347</v>
      </c>
      <c r="Z12" s="65">
        <f t="shared" ca="1" si="7"/>
        <v>692.6009886358172</v>
      </c>
      <c r="AA12" s="65">
        <f t="shared" ca="1" si="7"/>
        <v>474.15026825480749</v>
      </c>
      <c r="AB12" s="65">
        <f t="shared" ca="1" si="7"/>
        <v>243.5099976765373</v>
      </c>
    </row>
    <row r="13" spans="2:28" ht="24.9" customHeight="1">
      <c r="B13" s="340">
        <v>4</v>
      </c>
      <c r="C13" s="68" t="s">
        <v>89</v>
      </c>
      <c r="D13" s="64"/>
      <c r="E13" s="65">
        <f t="shared" ref="E13:E15" ca="1" si="8">SUM(F13:AB13)</f>
        <v>92149.769013221652</v>
      </c>
      <c r="F13" s="65"/>
      <c r="G13" s="65"/>
      <c r="H13" s="65"/>
      <c r="I13" s="65">
        <f ca="1">PMT(D12,20,-I10)</f>
        <v>4607.4884506610824</v>
      </c>
      <c r="J13" s="65">
        <f ca="1">I13</f>
        <v>4607.4884506610824</v>
      </c>
      <c r="K13" s="65">
        <f t="shared" ref="K13:W13" ca="1" si="9">J13</f>
        <v>4607.4884506610824</v>
      </c>
      <c r="L13" s="65">
        <f t="shared" ca="1" si="9"/>
        <v>4607.4884506610824</v>
      </c>
      <c r="M13" s="65">
        <f t="shared" ca="1" si="9"/>
        <v>4607.4884506610824</v>
      </c>
      <c r="N13" s="65">
        <f t="shared" ca="1" si="9"/>
        <v>4607.4884506610824</v>
      </c>
      <c r="O13" s="65">
        <f t="shared" ca="1" si="9"/>
        <v>4607.4884506610824</v>
      </c>
      <c r="P13" s="65">
        <f t="shared" ca="1" si="9"/>
        <v>4607.4884506610824</v>
      </c>
      <c r="Q13" s="65">
        <f t="shared" ca="1" si="9"/>
        <v>4607.4884506610824</v>
      </c>
      <c r="R13" s="65">
        <f t="shared" ca="1" si="9"/>
        <v>4607.4884506610824</v>
      </c>
      <c r="S13" s="65">
        <f t="shared" ca="1" si="9"/>
        <v>4607.4884506610824</v>
      </c>
      <c r="T13" s="65">
        <f t="shared" ca="1" si="9"/>
        <v>4607.4884506610824</v>
      </c>
      <c r="U13" s="65">
        <f t="shared" ca="1" si="9"/>
        <v>4607.4884506610824</v>
      </c>
      <c r="V13" s="65">
        <f t="shared" ca="1" si="9"/>
        <v>4607.4884506610824</v>
      </c>
      <c r="W13" s="65">
        <f t="shared" ca="1" si="9"/>
        <v>4607.4884506610824</v>
      </c>
      <c r="X13" s="65">
        <f t="shared" ref="X13" ca="1" si="10">W13</f>
        <v>4607.4884506610824</v>
      </c>
      <c r="Y13" s="65">
        <f t="shared" ref="Y13" ca="1" si="11">X13</f>
        <v>4607.4884506610824</v>
      </c>
      <c r="Z13" s="65">
        <f t="shared" ref="Z13" ca="1" si="12">Y13</f>
        <v>4607.4884506610824</v>
      </c>
      <c r="AA13" s="65">
        <f t="shared" ref="AA13" ca="1" si="13">Z13</f>
        <v>4607.4884506610824</v>
      </c>
      <c r="AB13" s="65">
        <f t="shared" ref="AB13" ca="1" si="14">AA13</f>
        <v>4607.4884506610824</v>
      </c>
    </row>
    <row r="14" spans="2:28" ht="24.9" customHeight="1">
      <c r="B14" s="340">
        <v>5</v>
      </c>
      <c r="C14" s="68" t="s">
        <v>90</v>
      </c>
      <c r="D14" s="64"/>
      <c r="E14" s="65">
        <f t="shared" ca="1" si="8"/>
        <v>54697.631177062387</v>
      </c>
      <c r="F14" s="65"/>
      <c r="G14" s="65"/>
      <c r="H14" s="65"/>
      <c r="I14" s="65">
        <f ca="1">I13-I12</f>
        <v>1555.3606309810016</v>
      </c>
      <c r="J14" s="65">
        <f ca="1">J13-J12</f>
        <v>1642.1497541897411</v>
      </c>
      <c r="K14" s="65">
        <f t="shared" ref="K14:W14" ca="1" si="15">K13-K12</f>
        <v>1733.7817104735286</v>
      </c>
      <c r="L14" s="65">
        <f t="shared" ca="1" si="15"/>
        <v>1830.5267299179518</v>
      </c>
      <c r="M14" s="65">
        <f t="shared" ca="1" si="15"/>
        <v>1932.6701214473737</v>
      </c>
      <c r="N14" s="65">
        <f t="shared" ca="1" si="15"/>
        <v>2040.5131142241371</v>
      </c>
      <c r="O14" s="65">
        <f t="shared" ca="1" si="15"/>
        <v>2154.3737459978438</v>
      </c>
      <c r="P14" s="65">
        <f t="shared" ca="1" si="15"/>
        <v>2274.5878010245233</v>
      </c>
      <c r="Q14" s="65">
        <f t="shared" ca="1" si="15"/>
        <v>2401.5098003216917</v>
      </c>
      <c r="R14" s="65">
        <f t="shared" ca="1" si="15"/>
        <v>2535.5140471796421</v>
      </c>
      <c r="S14" s="65">
        <f t="shared" ca="1" si="15"/>
        <v>2676.9957310122663</v>
      </c>
      <c r="T14" s="65">
        <f t="shared" ca="1" si="15"/>
        <v>2826.372092802751</v>
      </c>
      <c r="U14" s="65">
        <f t="shared" ca="1" si="15"/>
        <v>2984.0836555811447</v>
      </c>
      <c r="V14" s="65">
        <f t="shared" ca="1" si="15"/>
        <v>3150.5955235625725</v>
      </c>
      <c r="W14" s="65">
        <f t="shared" ca="1" si="15"/>
        <v>3326.3987537773637</v>
      </c>
      <c r="X14" s="65">
        <f t="shared" ref="X14:AB14" ca="1" si="16">X13-X12</f>
        <v>3512.0118042381409</v>
      </c>
      <c r="Y14" s="65">
        <f t="shared" ca="1" si="16"/>
        <v>3707.9820629146288</v>
      </c>
      <c r="Z14" s="65">
        <f t="shared" ca="1" si="16"/>
        <v>3914.8874620252654</v>
      </c>
      <c r="AA14" s="65">
        <f t="shared" ca="1" si="16"/>
        <v>4133.3381824062753</v>
      </c>
      <c r="AB14" s="65">
        <f t="shared" ca="1" si="16"/>
        <v>4363.9784529845456</v>
      </c>
    </row>
    <row r="15" spans="2:28" ht="24.9" customHeight="1">
      <c r="B15" s="340">
        <v>6</v>
      </c>
      <c r="C15" s="68" t="s">
        <v>91</v>
      </c>
      <c r="D15" s="64"/>
      <c r="E15" s="65">
        <f t="shared" ca="1" si="8"/>
        <v>37452.137836159258</v>
      </c>
      <c r="F15" s="65"/>
      <c r="G15" s="65"/>
      <c r="H15" s="65"/>
      <c r="I15" s="65">
        <f ca="1">I12</f>
        <v>3052.1278196800808</v>
      </c>
      <c r="J15" s="65">
        <f ca="1">J12</f>
        <v>2965.3386964713413</v>
      </c>
      <c r="K15" s="65">
        <f t="shared" ref="K15:W15" ca="1" si="17">K12</f>
        <v>2873.7067401875538</v>
      </c>
      <c r="L15" s="65">
        <f t="shared" ca="1" si="17"/>
        <v>2776.9617207431306</v>
      </c>
      <c r="M15" s="65">
        <f t="shared" ca="1" si="17"/>
        <v>2674.8183292137087</v>
      </c>
      <c r="N15" s="65">
        <f t="shared" ca="1" si="17"/>
        <v>2566.9753364369453</v>
      </c>
      <c r="O15" s="65">
        <f t="shared" ca="1" si="17"/>
        <v>2453.1147046632386</v>
      </c>
      <c r="P15" s="65">
        <f t="shared" ca="1" si="17"/>
        <v>2332.9006496365591</v>
      </c>
      <c r="Q15" s="65">
        <f t="shared" ca="1" si="17"/>
        <v>2205.9786503393907</v>
      </c>
      <c r="R15" s="65">
        <f t="shared" ca="1" si="17"/>
        <v>2071.9744034814403</v>
      </c>
      <c r="S15" s="65">
        <f t="shared" ca="1" si="17"/>
        <v>1930.4927196488163</v>
      </c>
      <c r="T15" s="65">
        <f t="shared" ca="1" si="17"/>
        <v>1781.1163578583314</v>
      </c>
      <c r="U15" s="65">
        <f t="shared" ca="1" si="17"/>
        <v>1623.4047950799379</v>
      </c>
      <c r="V15" s="65">
        <f t="shared" ca="1" si="17"/>
        <v>1456.8929270985102</v>
      </c>
      <c r="W15" s="65">
        <f t="shared" ca="1" si="17"/>
        <v>1281.0896968837185</v>
      </c>
      <c r="X15" s="65">
        <f t="shared" ref="X15:AB15" ca="1" si="18">X12</f>
        <v>1095.4766464229415</v>
      </c>
      <c r="Y15" s="65">
        <f t="shared" ca="1" si="18"/>
        <v>899.50638774645347</v>
      </c>
      <c r="Z15" s="65">
        <f t="shared" ca="1" si="18"/>
        <v>692.6009886358172</v>
      </c>
      <c r="AA15" s="65">
        <f t="shared" ca="1" si="18"/>
        <v>474.15026825480749</v>
      </c>
      <c r="AB15" s="65">
        <f t="shared" ca="1" si="18"/>
        <v>243.5099976765373</v>
      </c>
    </row>
    <row r="16" spans="2:28" ht="24.9" customHeight="1">
      <c r="B16" s="359">
        <v>7</v>
      </c>
      <c r="C16" s="357" t="s">
        <v>92</v>
      </c>
      <c r="D16" s="358"/>
      <c r="E16" s="119"/>
      <c r="F16" s="353">
        <f ca="1">F10+F11+F12-F14-F15</f>
        <v>20646.186503709763</v>
      </c>
      <c r="G16" s="353">
        <f t="shared" ref="G16:H16" ca="1" si="19">G10+G11+G12-G14-G15</f>
        <v>37251.613624324076</v>
      </c>
      <c r="H16" s="353">
        <f t="shared" ca="1" si="19"/>
        <v>54697.63117706238</v>
      </c>
      <c r="I16" s="353">
        <f t="shared" ref="I16" ca="1" si="20">I10+I11+I12-I14-I15</f>
        <v>53142.270546081381</v>
      </c>
      <c r="J16" s="353">
        <f t="shared" ref="J16" ca="1" si="21">J10+J11+J12-J14-J15</f>
        <v>51500.120791891641</v>
      </c>
      <c r="K16" s="353">
        <f t="shared" ref="K16" ca="1" si="22">K10+K11+K12-K14-K15</f>
        <v>49766.339081418111</v>
      </c>
      <c r="L16" s="353">
        <f t="shared" ref="L16" ca="1" si="23">L10+L11+L12-L14-L15</f>
        <v>47935.812351500157</v>
      </c>
      <c r="M16" s="353">
        <f t="shared" ref="M16" ca="1" si="24">M10+M11+M12-M14-M15</f>
        <v>46003.142230052785</v>
      </c>
      <c r="N16" s="353">
        <f t="shared" ref="N16" ca="1" si="25">N10+N11+N12-N14-N15</f>
        <v>43962.629115828648</v>
      </c>
      <c r="O16" s="353">
        <f t="shared" ref="O16" ca="1" si="26">O10+O11+O12-O14-O15</f>
        <v>41808.255369830804</v>
      </c>
      <c r="P16" s="353">
        <f t="shared" ref="P16" ca="1" si="27">P10+P11+P12-P14-P15</f>
        <v>39533.667568806282</v>
      </c>
      <c r="Q16" s="353">
        <f t="shared" ref="Q16" ca="1" si="28">Q10+Q11+Q12-Q14-Q15</f>
        <v>37132.157768484591</v>
      </c>
      <c r="R16" s="353">
        <f t="shared" ref="R16" ca="1" si="29">R10+R11+R12-R14-R15</f>
        <v>34596.64372130495</v>
      </c>
      <c r="S16" s="353">
        <f t="shared" ref="S16" ca="1" si="30">S10+S11+S12-S14-S15</f>
        <v>31919.647990292677</v>
      </c>
      <c r="T16" s="353">
        <f t="shared" ref="T16" ca="1" si="31">T10+T11+T12-T14-T15</f>
        <v>29093.275897489926</v>
      </c>
      <c r="U16" s="353">
        <f t="shared" ref="U16" ca="1" si="32">U10+U11+U12-U14-U15</f>
        <v>26109.192241908782</v>
      </c>
      <c r="V16" s="353">
        <f t="shared" ref="V16" ca="1" si="33">V10+V11+V12-V14-V15</f>
        <v>22958.596718346209</v>
      </c>
      <c r="W16" s="353">
        <f t="shared" ref="W16:AB16" ca="1" si="34">W10+W11+W12-W14-W15</f>
        <v>19632.197964568844</v>
      </c>
      <c r="X16" s="353">
        <f t="shared" ca="1" si="34"/>
        <v>16120.186160330706</v>
      </c>
      <c r="Y16" s="353">
        <f t="shared" ca="1" si="34"/>
        <v>12412.204097416079</v>
      </c>
      <c r="Z16" s="353">
        <f t="shared" ca="1" si="34"/>
        <v>8497.3166353908146</v>
      </c>
      <c r="AA16" s="353">
        <f t="shared" ca="1" si="34"/>
        <v>4363.9784529845392</v>
      </c>
      <c r="AB16" s="353">
        <f t="shared" ca="1" si="34"/>
        <v>-6.8212102632969618E-12</v>
      </c>
    </row>
    <row r="17" spans="2:28" ht="24.9" customHeight="1">
      <c r="B17" s="360" t="s">
        <v>93</v>
      </c>
      <c r="C17" s="507" t="s">
        <v>94</v>
      </c>
      <c r="D17" s="507"/>
      <c r="E17" s="355">
        <f ca="1">AVERAGE(I17:AB17)</f>
        <v>8.5827653168054903E-4</v>
      </c>
      <c r="F17" s="336"/>
      <c r="G17" s="336"/>
      <c r="H17" s="336"/>
      <c r="I17" s="356">
        <f ca="1">'9利润与利润分配表'!H23/'4还本付息计划表'!I15</f>
        <v>9.7067067466493021E-3</v>
      </c>
      <c r="J17" s="356">
        <f ca="1">'9利润与利润分配表'!I23/'4还本付息计划表'!J15</f>
        <v>8.8402642976363934E-3</v>
      </c>
      <c r="K17" s="356">
        <f ca="1">'9利润与利润分配表'!J23/'4还本付息计划表'!K15</f>
        <v>9.121481911234899E-3</v>
      </c>
      <c r="L17" s="356">
        <f ca="1">'9利润与利润分配表'!K23/'4还本付息计划表'!L15</f>
        <v>8.8967326160394929E-3</v>
      </c>
      <c r="M17" s="356">
        <f ca="1">'9利润与利润分配表'!L23/'4还本付息计划表'!M15</f>
        <v>9.2357281123412772E-3</v>
      </c>
      <c r="N17" s="356">
        <f ca="1">'9利润与利润分配表'!M23/'4还本付息计划表'!N15</f>
        <v>9.622945569624489E-3</v>
      </c>
      <c r="O17" s="356">
        <f ca="1">'9利润与利润分配表'!N23/'4还本付息计划表'!O15</f>
        <v>9.4247264417093562E-3</v>
      </c>
      <c r="P17" s="356">
        <f ca="1">'9利润与利润分配表'!O23/'4还本付息计划表'!P15</f>
        <v>9.9094756047622534E-3</v>
      </c>
      <c r="Q17" s="356">
        <f ca="1">'9利润与利润分配表'!P23/'4还本付息计划表'!Q15</f>
        <v>1.0478644871635419E-2</v>
      </c>
      <c r="R17" s="356">
        <f ca="1">'9利润与利润分配表'!Q23/'4还本付息计划表'!R15</f>
        <v>1.0354673422717184E-2</v>
      </c>
      <c r="S17" s="356">
        <f ca="1">'9利润与利润分配表'!R23/'4还本付息计划表'!S15</f>
        <v>1.1112383794602046E-2</v>
      </c>
      <c r="T17" s="356">
        <f ca="1">'9利润与利润分配表'!S23/'4还本付息计划表'!T15</f>
        <v>1.2043058724620312E-2</v>
      </c>
      <c r="U17" s="356">
        <f ca="1">'9利润与利润分配表'!T23/'4还本付息计划表'!U15</f>
        <v>1.21386627056669E-2</v>
      </c>
      <c r="V17" s="356">
        <f ca="1">'9利润与利润分配表'!U23/'4还本付息计划表'!V15</f>
        <v>-4.9487547616009183E-3</v>
      </c>
      <c r="W17" s="356">
        <f ca="1">'9利润与利润分配表'!V23/'4还本付息计划表'!W15</f>
        <v>-5.629764206270314E-3</v>
      </c>
      <c r="X17" s="356">
        <f ca="1">'9利润与利润分配表'!W23/'4还本付息计划表'!X15</f>
        <v>-8.4557319612245038E-3</v>
      </c>
      <c r="Y17" s="356">
        <f ca="1">'9利润与利润分配表'!X23/'4还本付息计划表'!Y15</f>
        <v>-1.0300740699379097E-2</v>
      </c>
      <c r="Z17" s="356">
        <f ca="1">'9利润与利润分配表'!Y23/'4还本付息计划表'!Z15</f>
        <v>-1.3381669790650473E-2</v>
      </c>
      <c r="AA17" s="356">
        <f ca="1">'9利润与利润分配表'!Z23/'4还本付息计划表'!AA15</f>
        <v>-2.4088461840847012E-2</v>
      </c>
      <c r="AB17" s="361">
        <f ca="1">'9利润与利润分配表'!AA23/'4还本付息计划表'!AB15</f>
        <v>-4.6914830925656001E-2</v>
      </c>
    </row>
    <row r="18" spans="2:28" ht="24.9" customHeight="1">
      <c r="B18" s="338" t="s">
        <v>93</v>
      </c>
      <c r="C18" s="506" t="s">
        <v>95</v>
      </c>
      <c r="D18" s="506"/>
      <c r="E18" s="354">
        <f ca="1">AVERAGE(I18:AB18)</f>
        <v>0.73284709513486901</v>
      </c>
      <c r="F18" s="299"/>
      <c r="G18" s="299"/>
      <c r="H18" s="299"/>
      <c r="I18" s="354">
        <f ca="1">('9利润与利润分配表'!H23+'9利润与利润分配表'!H13-'9利润与利润分配表'!H18)/'4还本付息计划表'!I13</f>
        <v>0.67243809805486954</v>
      </c>
      <c r="J18" s="354">
        <f ca="1">('9利润与利润分配表'!I23+'9利润与利润分配表'!I13-'9利润与利润分配表'!I18)/'4还本付息计划表'!J13</f>
        <v>0.67169762264692368</v>
      </c>
      <c r="K18" s="354">
        <f ca="1">('9利润与利润分配表'!J23+'9利润与利润分配表'!J13-'9利润与利润分配表'!J18)/'4还本付息计划表'!K13</f>
        <v>0.67169720728831317</v>
      </c>
      <c r="L18" s="354">
        <f ca="1">('9利润与利润分配表'!K23+'9利润与利润分配表'!K13-'9利润与利润分配表'!K18)/'4还本付息计划表'!L13</f>
        <v>0.67137022260880308</v>
      </c>
      <c r="M18" s="354">
        <f ca="1">('9利润与利润分配表'!L23+'9利润与利润分配表'!L13-'9利润与利润分配表'!L18)/'4还本付息计划表'!M13</f>
        <v>0.67136979046970491</v>
      </c>
      <c r="N18" s="354">
        <f ca="1">('9利润与利润分配表'!M23+'9利润与利润分配表'!M13-'9利润与利润分配表'!M18)/'4还本付息计划表'!N13</f>
        <v>0.67136934968782447</v>
      </c>
      <c r="O18" s="354">
        <f ca="1">('9利润与利润分配表'!N23+'9利润与利润分配表'!N13-'9利润与利润分配表'!N18)/'4还本付息计划表'!O13</f>
        <v>0.67102601102589277</v>
      </c>
      <c r="P18" s="354">
        <f ca="1">('9利润与利润分配表'!O23+'9利润与利润分配表'!O13-'9利润与利润分配表'!O18)/'4还本付息计划表'!P13</f>
        <v>0.67102555243642459</v>
      </c>
      <c r="Q18" s="354">
        <f ca="1">('9利润与利润分配表'!P23+'9利润与利润分配表'!P13-'9利润与利润分配表'!P18)/'4还本付息计划表'!Q13</f>
        <v>0.67102508467516708</v>
      </c>
      <c r="R18" s="354">
        <f ca="1">('9利润与利润分配表'!Q23+'9利润与利润分配表'!Q13-'9利润与利润分配表'!Q18)/'4还本付息计划表'!R13</f>
        <v>1.3314381517053444</v>
      </c>
      <c r="S18" s="354">
        <f ca="1">('9利润与利润分配表'!R23+'9利润与利润分配表'!R13-'9利润与利润分配表'!R18)/'4还本付息计划表'!S13</f>
        <v>0.77424765379147531</v>
      </c>
      <c r="T18" s="354">
        <f ca="1">('9利润与利润分配表'!S23+'9利润与利润分配表'!S13-'9利润与利润分配表'!S18)/'4还本付息计划表'!T13</f>
        <v>0.76614219542998385</v>
      </c>
      <c r="U18" s="354">
        <f ca="1">('9利润与利润分配表'!T23+'9利润与利润分配表'!T13-'9利润与利润分配表'!T18)/'4还本付息计划表'!U13</f>
        <v>0.7573009394249085</v>
      </c>
      <c r="V18" s="354">
        <f ca="1">('9利润与利润分配表'!U23+'9利润与利润分配表'!U13-'9利润与利润分配表'!U18)/'4还本付息计划表'!V13</f>
        <v>0.7438847812626983</v>
      </c>
      <c r="W18" s="354">
        <f ca="1">('9利润与利润分配表'!V23+'9利润与利润分配表'!V13-'9利润与利润分配表'!V18)/'4还本付息计划表'!W13</f>
        <v>0.73434539155892076</v>
      </c>
      <c r="X18" s="354">
        <f ca="1">('9利润与利润分配表'!W23+'9利润与利润分配表'!W13-'9利润与利润分配表'!W18)/'4还本付息计划表'!X13</f>
        <v>0.72394029101290369</v>
      </c>
      <c r="Y18" s="354">
        <f ca="1">('9利润与利润分配表'!X23+'9利润与利润分配表'!X13-'9利润与利润分配表'!X18)/'4还本付息计划表'!Y13</f>
        <v>0.71330663255276128</v>
      </c>
      <c r="Z18" s="354">
        <f ca="1">('9利润与利润分配表'!Y23+'9利润与利润分配表'!Y13-'9利润与利润分配表'!Y18)/'4还本付息计划表'!Z13</f>
        <v>0.70207963066586987</v>
      </c>
      <c r="AA18" s="354">
        <f ca="1">('9利润与利润分配表'!Z23+'9利润与利润分配表'!Z13-'9利润与利润分配表'!Z18)/'4还本付息计划表'!AA13</f>
        <v>0.68987607869060752</v>
      </c>
      <c r="AB18" s="362">
        <f ca="1">('9利润与利润分配表'!AA23+'9利润与利润分配表'!AA13-'9利润与利润分配表'!AA18)/'4还本付息计划表'!AB13</f>
        <v>0.67736121770798097</v>
      </c>
    </row>
  </sheetData>
  <mergeCells count="8">
    <mergeCell ref="I8:AB8"/>
    <mergeCell ref="F8:H8"/>
    <mergeCell ref="C18:D18"/>
    <mergeCell ref="B8:B9"/>
    <mergeCell ref="C8:C9"/>
    <mergeCell ref="D8:D9"/>
    <mergeCell ref="E8:E9"/>
    <mergeCell ref="C17:D17"/>
  </mergeCells>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 defaultRowHeight="15.6"/>
  <sheetData/>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B11"/>
  <sheetViews>
    <sheetView topLeftCell="C1" workbookViewId="0">
      <selection activeCell="C13" sqref="C13"/>
    </sheetView>
  </sheetViews>
  <sheetFormatPr defaultColWidth="11" defaultRowHeight="17.399999999999999"/>
  <cols>
    <col min="2" max="2" width="11.36328125" style="28" bestFit="1" customWidth="1"/>
    <col min="3" max="3" width="47.90625" style="28" customWidth="1"/>
    <col min="4" max="4" width="13.90625" style="28" bestFit="1" customWidth="1"/>
    <col min="5" max="5" width="12.453125" style="28" bestFit="1" customWidth="1"/>
    <col min="6" max="8" width="12.453125" style="28" customWidth="1"/>
    <col min="9" max="23" width="12.453125" style="28" bestFit="1" customWidth="1"/>
  </cols>
  <sheetData>
    <row r="2" spans="2:28" ht="24.9" customHeight="1">
      <c r="C2" s="28" t="s">
        <v>316</v>
      </c>
    </row>
    <row r="3" spans="2:28" s="3" customFormat="1" ht="24.9" customHeight="1">
      <c r="B3" s="498" t="s">
        <v>56</v>
      </c>
      <c r="C3" s="498" t="s">
        <v>100</v>
      </c>
      <c r="D3" s="498" t="s">
        <v>85</v>
      </c>
      <c r="E3" s="498" t="s">
        <v>104</v>
      </c>
      <c r="F3" s="498" t="s">
        <v>75</v>
      </c>
      <c r="G3" s="498"/>
      <c r="H3" s="498"/>
      <c r="I3" s="498" t="s">
        <v>497</v>
      </c>
      <c r="J3" s="498"/>
      <c r="K3" s="498"/>
      <c r="L3" s="498"/>
      <c r="M3" s="498"/>
      <c r="N3" s="498"/>
      <c r="O3" s="498"/>
      <c r="P3" s="498"/>
      <c r="Q3" s="498"/>
      <c r="R3" s="498"/>
      <c r="S3" s="498"/>
      <c r="T3" s="498"/>
      <c r="U3" s="498"/>
      <c r="V3" s="498"/>
      <c r="W3" s="498"/>
      <c r="X3" s="498"/>
      <c r="Y3" s="498"/>
      <c r="Z3" s="498"/>
      <c r="AA3" s="498"/>
      <c r="AB3" s="498"/>
    </row>
    <row r="4" spans="2:28" s="3" customFormat="1" ht="24.9" customHeight="1">
      <c r="B4" s="498"/>
      <c r="C4" s="498"/>
      <c r="D4" s="498"/>
      <c r="E4" s="498"/>
      <c r="F4" s="419">
        <v>1</v>
      </c>
      <c r="G4" s="419">
        <v>2</v>
      </c>
      <c r="H4" s="419">
        <v>3</v>
      </c>
      <c r="I4" s="419">
        <v>4</v>
      </c>
      <c r="J4" s="419">
        <v>5</v>
      </c>
      <c r="K4" s="419">
        <v>6</v>
      </c>
      <c r="L4" s="419">
        <v>7</v>
      </c>
      <c r="M4" s="419">
        <v>8</v>
      </c>
      <c r="N4" s="419">
        <v>9</v>
      </c>
      <c r="O4" s="419">
        <v>10</v>
      </c>
      <c r="P4" s="419">
        <v>11</v>
      </c>
      <c r="Q4" s="419">
        <v>12</v>
      </c>
      <c r="R4" s="419">
        <v>13</v>
      </c>
      <c r="S4" s="419">
        <v>14</v>
      </c>
      <c r="T4" s="419">
        <v>15</v>
      </c>
      <c r="U4" s="419">
        <v>16</v>
      </c>
      <c r="V4" s="419">
        <v>17</v>
      </c>
      <c r="W4" s="419">
        <v>18</v>
      </c>
      <c r="X4" s="419">
        <v>19</v>
      </c>
      <c r="Y4" s="419">
        <v>20</v>
      </c>
      <c r="Z4" s="419">
        <v>21</v>
      </c>
      <c r="AA4" s="419">
        <v>22</v>
      </c>
      <c r="AB4" s="419">
        <v>23</v>
      </c>
    </row>
    <row r="5" spans="2:28" s="3" customFormat="1" ht="24" customHeight="1">
      <c r="B5" s="418">
        <v>1</v>
      </c>
      <c r="C5" s="69" t="str">
        <f>'5-1运营成本--各子项目内容'!C5</f>
        <v>化工产业板块雨水泵站及管网工程</v>
      </c>
      <c r="D5" s="238">
        <f>SUM(I5:AB5)</f>
        <v>0</v>
      </c>
      <c r="E5" s="238">
        <f>AVERAGE(I5:AB5)</f>
        <v>0</v>
      </c>
      <c r="F5" s="238"/>
      <c r="G5" s="238"/>
      <c r="H5" s="418"/>
      <c r="I5" s="238">
        <f>'2运营成本报价'!F10</f>
        <v>0</v>
      </c>
      <c r="J5" s="238">
        <f>I5*(1+2%)</f>
        <v>0</v>
      </c>
      <c r="K5" s="238">
        <f t="shared" ref="K5:W5" si="0">J5*(1+2%)</f>
        <v>0</v>
      </c>
      <c r="L5" s="238">
        <f t="shared" si="0"/>
        <v>0</v>
      </c>
      <c r="M5" s="238">
        <f t="shared" si="0"/>
        <v>0</v>
      </c>
      <c r="N5" s="238">
        <f t="shared" si="0"/>
        <v>0</v>
      </c>
      <c r="O5" s="238">
        <f t="shared" si="0"/>
        <v>0</v>
      </c>
      <c r="P5" s="238">
        <f t="shared" si="0"/>
        <v>0</v>
      </c>
      <c r="Q5" s="238">
        <f t="shared" si="0"/>
        <v>0</v>
      </c>
      <c r="R5" s="238">
        <f t="shared" si="0"/>
        <v>0</v>
      </c>
      <c r="S5" s="238">
        <f t="shared" si="0"/>
        <v>0</v>
      </c>
      <c r="T5" s="238">
        <f t="shared" si="0"/>
        <v>0</v>
      </c>
      <c r="U5" s="238">
        <f t="shared" si="0"/>
        <v>0</v>
      </c>
      <c r="V5" s="238">
        <f t="shared" si="0"/>
        <v>0</v>
      </c>
      <c r="W5" s="238">
        <f t="shared" si="0"/>
        <v>0</v>
      </c>
      <c r="X5" s="238">
        <f t="shared" ref="X5:X10" si="1">W5*(1+2%)</f>
        <v>0</v>
      </c>
      <c r="Y5" s="238">
        <f t="shared" ref="Y5:Y10" si="2">X5*(1+2%)</f>
        <v>0</v>
      </c>
      <c r="Z5" s="238">
        <f t="shared" ref="Z5:Z10" si="3">Y5*(1+2%)</f>
        <v>0</v>
      </c>
      <c r="AA5" s="238">
        <f t="shared" ref="AA5:AB10" si="4">Z5*(1+2%)</f>
        <v>0</v>
      </c>
      <c r="AB5" s="238">
        <f t="shared" si="4"/>
        <v>0</v>
      </c>
    </row>
    <row r="6" spans="2:28" s="3" customFormat="1" ht="24" customHeight="1">
      <c r="B6" s="418">
        <v>2</v>
      </c>
      <c r="C6" s="69" t="str">
        <f>'5-1运营成本--各子项目内容'!C6</f>
        <v>新规划支路道路及管网建设工程</v>
      </c>
      <c r="D6" s="238">
        <f t="shared" ref="D6:D10" si="5">SUM(I6:AB6)</f>
        <v>0</v>
      </c>
      <c r="E6" s="238">
        <f t="shared" ref="E6:E10" si="6">AVERAGE(I6:AB6)</f>
        <v>0</v>
      </c>
      <c r="F6" s="238"/>
      <c r="G6" s="238"/>
      <c r="H6" s="418"/>
      <c r="I6" s="238">
        <f>'2运营成本报价'!G10</f>
        <v>0</v>
      </c>
      <c r="J6" s="238">
        <f t="shared" ref="J6:W10" si="7">I6*(1+2%)</f>
        <v>0</v>
      </c>
      <c r="K6" s="238">
        <f t="shared" si="7"/>
        <v>0</v>
      </c>
      <c r="L6" s="238">
        <f t="shared" si="7"/>
        <v>0</v>
      </c>
      <c r="M6" s="238">
        <f t="shared" si="7"/>
        <v>0</v>
      </c>
      <c r="N6" s="238">
        <f t="shared" si="7"/>
        <v>0</v>
      </c>
      <c r="O6" s="238">
        <f t="shared" si="7"/>
        <v>0</v>
      </c>
      <c r="P6" s="238">
        <f t="shared" si="7"/>
        <v>0</v>
      </c>
      <c r="Q6" s="238">
        <f t="shared" si="7"/>
        <v>0</v>
      </c>
      <c r="R6" s="238">
        <f t="shared" si="7"/>
        <v>0</v>
      </c>
      <c r="S6" s="238">
        <f t="shared" si="7"/>
        <v>0</v>
      </c>
      <c r="T6" s="238">
        <f t="shared" si="7"/>
        <v>0</v>
      </c>
      <c r="U6" s="238">
        <f t="shared" si="7"/>
        <v>0</v>
      </c>
      <c r="V6" s="238">
        <f t="shared" si="7"/>
        <v>0</v>
      </c>
      <c r="W6" s="238">
        <f t="shared" si="7"/>
        <v>0</v>
      </c>
      <c r="X6" s="238">
        <f t="shared" si="1"/>
        <v>0</v>
      </c>
      <c r="Y6" s="238">
        <f t="shared" si="2"/>
        <v>0</v>
      </c>
      <c r="Z6" s="238">
        <f t="shared" si="3"/>
        <v>0</v>
      </c>
      <c r="AA6" s="238">
        <f t="shared" si="4"/>
        <v>0</v>
      </c>
      <c r="AB6" s="238">
        <f t="shared" si="4"/>
        <v>0</v>
      </c>
    </row>
    <row r="7" spans="2:28" s="3" customFormat="1" ht="24" customHeight="1">
      <c r="B7" s="418">
        <v>3</v>
      </c>
      <c r="C7" s="69" t="str">
        <f>'5-1运营成本--各子项目内容'!C7</f>
        <v>新规划支二路道路及管网建设工程</v>
      </c>
      <c r="D7" s="238">
        <f t="shared" si="5"/>
        <v>0</v>
      </c>
      <c r="E7" s="238">
        <f t="shared" si="6"/>
        <v>0</v>
      </c>
      <c r="F7" s="238"/>
      <c r="G7" s="238"/>
      <c r="H7" s="418"/>
      <c r="I7" s="238">
        <f>'2运营成本报价'!H10</f>
        <v>0</v>
      </c>
      <c r="J7" s="238">
        <f t="shared" si="7"/>
        <v>0</v>
      </c>
      <c r="K7" s="238">
        <f t="shared" si="7"/>
        <v>0</v>
      </c>
      <c r="L7" s="238">
        <f t="shared" si="7"/>
        <v>0</v>
      </c>
      <c r="M7" s="238">
        <f t="shared" si="7"/>
        <v>0</v>
      </c>
      <c r="N7" s="238">
        <f t="shared" si="7"/>
        <v>0</v>
      </c>
      <c r="O7" s="238">
        <f t="shared" si="7"/>
        <v>0</v>
      </c>
      <c r="P7" s="238">
        <f t="shared" si="7"/>
        <v>0</v>
      </c>
      <c r="Q7" s="238">
        <f t="shared" si="7"/>
        <v>0</v>
      </c>
      <c r="R7" s="238">
        <f t="shared" si="7"/>
        <v>0</v>
      </c>
      <c r="S7" s="238">
        <f t="shared" si="7"/>
        <v>0</v>
      </c>
      <c r="T7" s="238">
        <f t="shared" si="7"/>
        <v>0</v>
      </c>
      <c r="U7" s="238">
        <f t="shared" si="7"/>
        <v>0</v>
      </c>
      <c r="V7" s="238">
        <f t="shared" si="7"/>
        <v>0</v>
      </c>
      <c r="W7" s="238">
        <f t="shared" si="7"/>
        <v>0</v>
      </c>
      <c r="X7" s="238">
        <f t="shared" si="1"/>
        <v>0</v>
      </c>
      <c r="Y7" s="238">
        <f t="shared" si="2"/>
        <v>0</v>
      </c>
      <c r="Z7" s="238">
        <f t="shared" si="3"/>
        <v>0</v>
      </c>
      <c r="AA7" s="238">
        <f t="shared" si="4"/>
        <v>0</v>
      </c>
      <c r="AB7" s="238">
        <f t="shared" si="4"/>
        <v>0</v>
      </c>
    </row>
    <row r="8" spans="2:28" s="3" customFormat="1" ht="24" customHeight="1">
      <c r="B8" s="418">
        <v>4</v>
      </c>
      <c r="C8" s="69" t="str">
        <f>'5-1运营成本--各子项目内容'!C8</f>
        <v>经九路（纬四路-纬九路）道路管网工程</v>
      </c>
      <c r="D8" s="238">
        <f t="shared" si="5"/>
        <v>0</v>
      </c>
      <c r="E8" s="238">
        <f t="shared" si="6"/>
        <v>0</v>
      </c>
      <c r="F8" s="238"/>
      <c r="G8" s="238"/>
      <c r="H8" s="418"/>
      <c r="I8" s="238">
        <f>'2运营成本报价'!I10</f>
        <v>0</v>
      </c>
      <c r="J8" s="238">
        <f t="shared" si="7"/>
        <v>0</v>
      </c>
      <c r="K8" s="238">
        <f t="shared" si="7"/>
        <v>0</v>
      </c>
      <c r="L8" s="238">
        <f t="shared" si="7"/>
        <v>0</v>
      </c>
      <c r="M8" s="238">
        <f t="shared" si="7"/>
        <v>0</v>
      </c>
      <c r="N8" s="238">
        <f t="shared" si="7"/>
        <v>0</v>
      </c>
      <c r="O8" s="238">
        <f t="shared" si="7"/>
        <v>0</v>
      </c>
      <c r="P8" s="238">
        <f t="shared" si="7"/>
        <v>0</v>
      </c>
      <c r="Q8" s="238">
        <f t="shared" si="7"/>
        <v>0</v>
      </c>
      <c r="R8" s="238">
        <f t="shared" si="7"/>
        <v>0</v>
      </c>
      <c r="S8" s="238">
        <f t="shared" si="7"/>
        <v>0</v>
      </c>
      <c r="T8" s="238">
        <f t="shared" si="7"/>
        <v>0</v>
      </c>
      <c r="U8" s="238">
        <f t="shared" si="7"/>
        <v>0</v>
      </c>
      <c r="V8" s="238">
        <f t="shared" si="7"/>
        <v>0</v>
      </c>
      <c r="W8" s="238">
        <f t="shared" si="7"/>
        <v>0</v>
      </c>
      <c r="X8" s="238">
        <f t="shared" si="1"/>
        <v>0</v>
      </c>
      <c r="Y8" s="238">
        <f t="shared" si="2"/>
        <v>0</v>
      </c>
      <c r="Z8" s="238">
        <f t="shared" si="3"/>
        <v>0</v>
      </c>
      <c r="AA8" s="238">
        <f t="shared" si="4"/>
        <v>0</v>
      </c>
      <c r="AB8" s="238">
        <f t="shared" si="4"/>
        <v>0</v>
      </c>
    </row>
    <row r="9" spans="2:28" s="3" customFormat="1" ht="29.1" customHeight="1">
      <c r="B9" s="418">
        <v>5</v>
      </c>
      <c r="C9" s="69" t="str">
        <f>'5-1运营成本--各子项目内容'!C9</f>
        <v>纬九路（经七路-经九路）道路管网建设工程</v>
      </c>
      <c r="D9" s="238">
        <f t="shared" si="5"/>
        <v>0</v>
      </c>
      <c r="E9" s="238">
        <f t="shared" si="6"/>
        <v>0</v>
      </c>
      <c r="F9" s="238"/>
      <c r="G9" s="238"/>
      <c r="H9" s="418"/>
      <c r="I9" s="238">
        <f>'2运营成本报价'!J10</f>
        <v>0</v>
      </c>
      <c r="J9" s="238">
        <f>I9*(1+2%)</f>
        <v>0</v>
      </c>
      <c r="K9" s="238">
        <f t="shared" si="7"/>
        <v>0</v>
      </c>
      <c r="L9" s="238">
        <f t="shared" si="7"/>
        <v>0</v>
      </c>
      <c r="M9" s="238">
        <f t="shared" si="7"/>
        <v>0</v>
      </c>
      <c r="N9" s="238">
        <f t="shared" si="7"/>
        <v>0</v>
      </c>
      <c r="O9" s="238">
        <f t="shared" si="7"/>
        <v>0</v>
      </c>
      <c r="P9" s="238">
        <f t="shared" si="7"/>
        <v>0</v>
      </c>
      <c r="Q9" s="238">
        <f t="shared" si="7"/>
        <v>0</v>
      </c>
      <c r="R9" s="238">
        <f t="shared" si="7"/>
        <v>0</v>
      </c>
      <c r="S9" s="238">
        <f t="shared" si="7"/>
        <v>0</v>
      </c>
      <c r="T9" s="238">
        <f t="shared" si="7"/>
        <v>0</v>
      </c>
      <c r="U9" s="238">
        <f t="shared" si="7"/>
        <v>0</v>
      </c>
      <c r="V9" s="238">
        <f t="shared" si="7"/>
        <v>0</v>
      </c>
      <c r="W9" s="238">
        <f t="shared" si="7"/>
        <v>0</v>
      </c>
      <c r="X9" s="238">
        <f t="shared" si="1"/>
        <v>0</v>
      </c>
      <c r="Y9" s="238">
        <f t="shared" si="2"/>
        <v>0</v>
      </c>
      <c r="Z9" s="238">
        <f t="shared" si="3"/>
        <v>0</v>
      </c>
      <c r="AA9" s="238">
        <f t="shared" si="4"/>
        <v>0</v>
      </c>
      <c r="AB9" s="238">
        <f t="shared" si="4"/>
        <v>0</v>
      </c>
    </row>
    <row r="10" spans="2:28" s="3" customFormat="1" ht="29.1" customHeight="1">
      <c r="B10" s="418">
        <v>6</v>
      </c>
      <c r="C10" s="69" t="str">
        <f>可研资料整理!C35</f>
        <v>危险品运输车辆停车场项目</v>
      </c>
      <c r="D10" s="238">
        <f t="shared" si="5"/>
        <v>2324.9667213188382</v>
      </c>
      <c r="E10" s="238">
        <f t="shared" si="6"/>
        <v>116.24833606594191</v>
      </c>
      <c r="F10" s="238"/>
      <c r="G10" s="238"/>
      <c r="H10" s="418"/>
      <c r="I10" s="238">
        <f>'4停车场项目的运营成本及收入'!D14</f>
        <v>95.687999999999988</v>
      </c>
      <c r="J10" s="238">
        <f>I10*(1+2%)</f>
        <v>97.601759999999985</v>
      </c>
      <c r="K10" s="238">
        <f t="shared" si="7"/>
        <v>99.553795199999982</v>
      </c>
      <c r="L10" s="238">
        <f t="shared" si="7"/>
        <v>101.54487110399998</v>
      </c>
      <c r="M10" s="238">
        <f t="shared" si="7"/>
        <v>103.57576852607998</v>
      </c>
      <c r="N10" s="238">
        <f t="shared" si="7"/>
        <v>105.64728389660158</v>
      </c>
      <c r="O10" s="238">
        <f t="shared" si="7"/>
        <v>107.76022957453361</v>
      </c>
      <c r="P10" s="238">
        <f t="shared" si="7"/>
        <v>109.91543416602428</v>
      </c>
      <c r="Q10" s="238">
        <f t="shared" si="7"/>
        <v>112.11374284934477</v>
      </c>
      <c r="R10" s="238">
        <f t="shared" si="7"/>
        <v>114.35601770633167</v>
      </c>
      <c r="S10" s="238">
        <f t="shared" si="7"/>
        <v>116.64313806045831</v>
      </c>
      <c r="T10" s="238">
        <f t="shared" si="7"/>
        <v>118.97600082166748</v>
      </c>
      <c r="U10" s="238">
        <f t="shared" si="7"/>
        <v>121.35552083810083</v>
      </c>
      <c r="V10" s="238">
        <f t="shared" si="7"/>
        <v>123.78263125486285</v>
      </c>
      <c r="W10" s="238">
        <f t="shared" si="7"/>
        <v>126.2582838799601</v>
      </c>
      <c r="X10" s="238">
        <f t="shared" si="1"/>
        <v>128.78344955755929</v>
      </c>
      <c r="Y10" s="238">
        <f t="shared" si="2"/>
        <v>131.35911854871048</v>
      </c>
      <c r="Z10" s="238">
        <f t="shared" si="3"/>
        <v>133.98630091968471</v>
      </c>
      <c r="AA10" s="238">
        <f t="shared" si="4"/>
        <v>136.6660269380784</v>
      </c>
      <c r="AB10" s="238">
        <f t="shared" si="4"/>
        <v>139.39934747683998</v>
      </c>
    </row>
    <row r="11" spans="2:28" s="3" customFormat="1" ht="24" customHeight="1">
      <c r="B11" s="492" t="s">
        <v>85</v>
      </c>
      <c r="C11" s="492"/>
      <c r="D11" s="238">
        <f>SUM(I11:AB11)</f>
        <v>2324.9667213188382</v>
      </c>
      <c r="E11" s="238">
        <f>AVERAGE(I11:AB11)</f>
        <v>116.24833606594191</v>
      </c>
      <c r="F11" s="238"/>
      <c r="G11" s="238"/>
      <c r="H11" s="418"/>
      <c r="I11" s="238">
        <f>SUM(I5:I10)</f>
        <v>95.687999999999988</v>
      </c>
      <c r="J11" s="238">
        <f t="shared" ref="J11:AB11" si="8">SUM(J5:J10)</f>
        <v>97.601759999999985</v>
      </c>
      <c r="K11" s="238">
        <f t="shared" si="8"/>
        <v>99.553795199999982</v>
      </c>
      <c r="L11" s="238">
        <f t="shared" si="8"/>
        <v>101.54487110399998</v>
      </c>
      <c r="M11" s="238">
        <f t="shared" si="8"/>
        <v>103.57576852607998</v>
      </c>
      <c r="N11" s="238">
        <f t="shared" si="8"/>
        <v>105.64728389660158</v>
      </c>
      <c r="O11" s="238">
        <f t="shared" si="8"/>
        <v>107.76022957453361</v>
      </c>
      <c r="P11" s="238">
        <f t="shared" si="8"/>
        <v>109.91543416602428</v>
      </c>
      <c r="Q11" s="238">
        <f t="shared" si="8"/>
        <v>112.11374284934477</v>
      </c>
      <c r="R11" s="238">
        <f t="shared" si="8"/>
        <v>114.35601770633167</v>
      </c>
      <c r="S11" s="238">
        <f t="shared" si="8"/>
        <v>116.64313806045831</v>
      </c>
      <c r="T11" s="238">
        <f t="shared" si="8"/>
        <v>118.97600082166748</v>
      </c>
      <c r="U11" s="238">
        <f t="shared" si="8"/>
        <v>121.35552083810083</v>
      </c>
      <c r="V11" s="238">
        <f t="shared" si="8"/>
        <v>123.78263125486285</v>
      </c>
      <c r="W11" s="238">
        <f t="shared" si="8"/>
        <v>126.2582838799601</v>
      </c>
      <c r="X11" s="238">
        <f t="shared" si="8"/>
        <v>128.78344955755929</v>
      </c>
      <c r="Y11" s="238">
        <f t="shared" si="8"/>
        <v>131.35911854871048</v>
      </c>
      <c r="Z11" s="238">
        <f t="shared" si="8"/>
        <v>133.98630091968471</v>
      </c>
      <c r="AA11" s="238">
        <f t="shared" si="8"/>
        <v>136.6660269380784</v>
      </c>
      <c r="AB11" s="238">
        <f t="shared" si="8"/>
        <v>139.39934747683998</v>
      </c>
    </row>
  </sheetData>
  <sheetProtection algorithmName="SHA-512" hashValue="2FPFfFmH7/X3R9GeLrOnWx0xJETq0Yu4aG/CRTsLUw61ipXjefryKa3F6LKuVDP3nYJMCUrJkcI9BfxaB+/sGQ==" saltValue="S+E5XrtSrJU1crVcZEBqDg==" spinCount="100000" sheet="1" objects="1" scenarios="1"/>
  <mergeCells count="7">
    <mergeCell ref="I3:AB3"/>
    <mergeCell ref="F3:H3"/>
    <mergeCell ref="B11:C11"/>
    <mergeCell ref="B3:B4"/>
    <mergeCell ref="C3:C4"/>
    <mergeCell ref="D3:D4"/>
    <mergeCell ref="E3:E4"/>
  </mergeCells>
  <phoneticPr fontId="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1"/>
  <sheetViews>
    <sheetView showGridLines="0" topLeftCell="A10" zoomScale="90" zoomScaleNormal="90" workbookViewId="0">
      <selection activeCell="E50" sqref="E50"/>
    </sheetView>
  </sheetViews>
  <sheetFormatPr defaultColWidth="11" defaultRowHeight="15.6"/>
  <cols>
    <col min="3" max="3" width="53.36328125" bestFit="1" customWidth="1"/>
    <col min="4" max="10" width="12.453125" bestFit="1" customWidth="1"/>
  </cols>
  <sheetData>
    <row r="1" spans="2:10" ht="24.9" customHeight="1"/>
    <row r="2" spans="2:10" ht="24.9" customHeight="1"/>
    <row r="3" spans="2:10" ht="17.399999999999999">
      <c r="B3" s="492" t="s">
        <v>56</v>
      </c>
      <c r="C3" s="492" t="s">
        <v>100</v>
      </c>
      <c r="D3" s="492" t="s">
        <v>85</v>
      </c>
      <c r="E3" s="510" t="s">
        <v>75</v>
      </c>
      <c r="F3" s="508"/>
      <c r="G3" s="509"/>
      <c r="H3" s="510" t="s">
        <v>497</v>
      </c>
      <c r="I3" s="508"/>
      <c r="J3" s="509"/>
    </row>
    <row r="4" spans="2:10" ht="17.399999999999999">
      <c r="B4" s="492"/>
      <c r="C4" s="492"/>
      <c r="D4" s="492"/>
      <c r="E4" s="401">
        <v>1</v>
      </c>
      <c r="F4" s="401">
        <v>2</v>
      </c>
      <c r="G4" s="401">
        <v>3</v>
      </c>
      <c r="H4" s="401">
        <v>4</v>
      </c>
      <c r="I4" s="401">
        <v>5</v>
      </c>
      <c r="J4" s="401">
        <v>6</v>
      </c>
    </row>
    <row r="5" spans="2:10" ht="17.399999999999999">
      <c r="B5" s="401">
        <v>1</v>
      </c>
      <c r="C5" s="69" t="str">
        <f>'2总成本估算表'!C5</f>
        <v>化工产业板块雨水泵站及管网工程</v>
      </c>
      <c r="D5" s="238">
        <f>'2总成本估算表'!D5</f>
        <v>0</v>
      </c>
      <c r="E5" s="238"/>
      <c r="F5" s="238"/>
      <c r="G5" s="401"/>
      <c r="H5" s="238">
        <f>'2总成本估算表'!I5</f>
        <v>0</v>
      </c>
      <c r="I5" s="238">
        <f>'2总成本估算表'!J5</f>
        <v>0</v>
      </c>
      <c r="J5" s="238">
        <f>'2总成本估算表'!K5</f>
        <v>0</v>
      </c>
    </row>
    <row r="6" spans="2:10" ht="17.399999999999999">
      <c r="B6" s="401">
        <v>2</v>
      </c>
      <c r="C6" s="69" t="str">
        <f>'2总成本估算表'!C6</f>
        <v>新规划支路道路及管网建设工程</v>
      </c>
      <c r="D6" s="238">
        <f>'2总成本估算表'!D6</f>
        <v>0</v>
      </c>
      <c r="E6" s="238"/>
      <c r="F6" s="238"/>
      <c r="G6" s="401"/>
      <c r="H6" s="238">
        <f>'2总成本估算表'!I6</f>
        <v>0</v>
      </c>
      <c r="I6" s="238">
        <f>'2总成本估算表'!J6</f>
        <v>0</v>
      </c>
      <c r="J6" s="238">
        <f>'2总成本估算表'!K6</f>
        <v>0</v>
      </c>
    </row>
    <row r="7" spans="2:10" ht="17.399999999999999">
      <c r="B7" s="401">
        <v>3</v>
      </c>
      <c r="C7" s="69" t="str">
        <f>'2总成本估算表'!C7</f>
        <v>新规划支二路道路及管网建设工程</v>
      </c>
      <c r="D7" s="238">
        <f>'2总成本估算表'!D7</f>
        <v>0</v>
      </c>
      <c r="E7" s="238"/>
      <c r="F7" s="238"/>
      <c r="G7" s="401"/>
      <c r="H7" s="238">
        <f>'2总成本估算表'!I7</f>
        <v>0</v>
      </c>
      <c r="I7" s="238">
        <f>'2总成本估算表'!J7</f>
        <v>0</v>
      </c>
      <c r="J7" s="238">
        <f>'2总成本估算表'!K7</f>
        <v>0</v>
      </c>
    </row>
    <row r="8" spans="2:10" ht="17.399999999999999">
      <c r="B8" s="401">
        <v>4</v>
      </c>
      <c r="C8" s="69" t="str">
        <f>'2总成本估算表'!C8</f>
        <v>经九路（纬四路-纬九路）道路管网工程</v>
      </c>
      <c r="D8" s="238">
        <f>'2总成本估算表'!D8</f>
        <v>0</v>
      </c>
      <c r="E8" s="238"/>
      <c r="F8" s="238"/>
      <c r="G8" s="401"/>
      <c r="H8" s="238">
        <f>'2总成本估算表'!I8</f>
        <v>0</v>
      </c>
      <c r="I8" s="238">
        <f>'2总成本估算表'!J8</f>
        <v>0</v>
      </c>
      <c r="J8" s="238">
        <f>'2总成本估算表'!K8</f>
        <v>0</v>
      </c>
    </row>
    <row r="9" spans="2:10" ht="17.399999999999999">
      <c r="B9" s="401">
        <v>5</v>
      </c>
      <c r="C9" s="69" t="str">
        <f>'2总成本估算表'!C9</f>
        <v>纬九路（经七路-经九路）道路管网建设工程</v>
      </c>
      <c r="D9" s="238">
        <f>'2总成本估算表'!D9</f>
        <v>0</v>
      </c>
      <c r="E9" s="238"/>
      <c r="F9" s="238"/>
      <c r="G9" s="401"/>
      <c r="H9" s="238">
        <f>'2总成本估算表'!I9</f>
        <v>0</v>
      </c>
      <c r="I9" s="238">
        <f>'2总成本估算表'!J9</f>
        <v>0</v>
      </c>
      <c r="J9" s="238">
        <f>'2总成本估算表'!K9</f>
        <v>0</v>
      </c>
    </row>
    <row r="10" spans="2:10" ht="17.399999999999999">
      <c r="B10" s="401">
        <v>5</v>
      </c>
      <c r="C10" s="69" t="str">
        <f>'2总成本估算表'!C10</f>
        <v>危险品运输车辆停车场项目</v>
      </c>
      <c r="D10" s="238">
        <f>'2总成本估算表'!D10</f>
        <v>2324.9667213188382</v>
      </c>
      <c r="E10" s="238"/>
      <c r="F10" s="238"/>
      <c r="G10" s="401"/>
      <c r="H10" s="238">
        <f>'2总成本估算表'!I10</f>
        <v>95.687999999999988</v>
      </c>
      <c r="I10" s="238">
        <f>'2总成本估算表'!J10</f>
        <v>97.601759999999985</v>
      </c>
      <c r="J10" s="238">
        <f>'2总成本估算表'!K10</f>
        <v>99.553795199999982</v>
      </c>
    </row>
    <row r="11" spans="2:10" ht="17.399999999999999">
      <c r="B11" s="492" t="s">
        <v>85</v>
      </c>
      <c r="C11" s="492"/>
      <c r="D11" s="238">
        <f>'2总成本估算表'!D11</f>
        <v>2324.9667213188382</v>
      </c>
      <c r="E11" s="238"/>
      <c r="F11" s="238"/>
      <c r="G11" s="401"/>
      <c r="H11" s="238">
        <f>'2总成本估算表'!I11</f>
        <v>95.687999999999988</v>
      </c>
      <c r="I11" s="238">
        <f>'2总成本估算表'!J11</f>
        <v>97.601759999999985</v>
      </c>
      <c r="J11" s="238">
        <f>'2总成本估算表'!K11</f>
        <v>99.553795199999982</v>
      </c>
    </row>
    <row r="12" spans="2:10">
      <c r="B12" s="3"/>
      <c r="C12" s="3"/>
      <c r="D12" s="3"/>
      <c r="E12" s="3"/>
      <c r="F12" s="3"/>
      <c r="G12" s="3"/>
      <c r="H12" s="3"/>
      <c r="I12" s="3"/>
      <c r="J12" s="3"/>
    </row>
    <row r="13" spans="2:10" ht="17.399999999999999">
      <c r="B13" s="492" t="s">
        <v>56</v>
      </c>
      <c r="C13" s="492" t="s">
        <v>100</v>
      </c>
      <c r="D13" s="492" t="s">
        <v>85</v>
      </c>
      <c r="E13" s="492" t="s">
        <v>497</v>
      </c>
      <c r="F13" s="492"/>
      <c r="G13" s="492"/>
      <c r="H13" s="492"/>
      <c r="I13" s="492"/>
      <c r="J13" s="492"/>
    </row>
    <row r="14" spans="2:10" ht="17.399999999999999">
      <c r="B14" s="492"/>
      <c r="C14" s="492"/>
      <c r="D14" s="492"/>
      <c r="E14" s="401">
        <v>7</v>
      </c>
      <c r="F14" s="401">
        <v>8</v>
      </c>
      <c r="G14" s="401">
        <v>9</v>
      </c>
      <c r="H14" s="401">
        <v>10</v>
      </c>
      <c r="I14" s="401">
        <v>11</v>
      </c>
      <c r="J14" s="401">
        <v>12</v>
      </c>
    </row>
    <row r="15" spans="2:10" ht="17.399999999999999">
      <c r="B15" s="401">
        <v>1</v>
      </c>
      <c r="C15" s="69" t="str">
        <f>C5</f>
        <v>化工产业板块雨水泵站及管网工程</v>
      </c>
      <c r="D15" s="230">
        <f>D5</f>
        <v>0</v>
      </c>
      <c r="E15" s="238">
        <f>'2总成本估算表'!L5</f>
        <v>0</v>
      </c>
      <c r="F15" s="238">
        <f>'2总成本估算表'!M5</f>
        <v>0</v>
      </c>
      <c r="G15" s="238">
        <f>'2总成本估算表'!N5</f>
        <v>0</v>
      </c>
      <c r="H15" s="238">
        <f>'2总成本估算表'!O5</f>
        <v>0</v>
      </c>
      <c r="I15" s="238">
        <f>'2总成本估算表'!P5</f>
        <v>0</v>
      </c>
      <c r="J15" s="238">
        <f>'2总成本估算表'!Q5</f>
        <v>0</v>
      </c>
    </row>
    <row r="16" spans="2:10" ht="17.399999999999999">
      <c r="B16" s="401">
        <v>2</v>
      </c>
      <c r="C16" s="69" t="str">
        <f>C6</f>
        <v>新规划支路道路及管网建设工程</v>
      </c>
      <c r="D16" s="230">
        <f t="shared" ref="D16:D21" si="0">D6</f>
        <v>0</v>
      </c>
      <c r="E16" s="238">
        <f>'2总成本估算表'!L6</f>
        <v>0</v>
      </c>
      <c r="F16" s="238">
        <f>'2总成本估算表'!M6</f>
        <v>0</v>
      </c>
      <c r="G16" s="238">
        <f>'2总成本估算表'!N6</f>
        <v>0</v>
      </c>
      <c r="H16" s="238">
        <f>'2总成本估算表'!O6</f>
        <v>0</v>
      </c>
      <c r="I16" s="238">
        <f>'2总成本估算表'!P6</f>
        <v>0</v>
      </c>
      <c r="J16" s="238">
        <f>'2总成本估算表'!Q6</f>
        <v>0</v>
      </c>
    </row>
    <row r="17" spans="2:10" ht="17.399999999999999">
      <c r="B17" s="401">
        <v>3</v>
      </c>
      <c r="C17" s="69" t="str">
        <f>C7</f>
        <v>新规划支二路道路及管网建设工程</v>
      </c>
      <c r="D17" s="230">
        <f t="shared" si="0"/>
        <v>0</v>
      </c>
      <c r="E17" s="238">
        <f>'2总成本估算表'!L7</f>
        <v>0</v>
      </c>
      <c r="F17" s="238">
        <f>'2总成本估算表'!M7</f>
        <v>0</v>
      </c>
      <c r="G17" s="238">
        <f>'2总成本估算表'!N7</f>
        <v>0</v>
      </c>
      <c r="H17" s="238">
        <f>'2总成本估算表'!O7</f>
        <v>0</v>
      </c>
      <c r="I17" s="238">
        <f>'2总成本估算表'!P7</f>
        <v>0</v>
      </c>
      <c r="J17" s="238">
        <f>'2总成本估算表'!Q7</f>
        <v>0</v>
      </c>
    </row>
    <row r="18" spans="2:10" ht="17.399999999999999">
      <c r="B18" s="401">
        <v>4</v>
      </c>
      <c r="C18" s="69" t="str">
        <f>C8</f>
        <v>经九路（纬四路-纬九路）道路管网工程</v>
      </c>
      <c r="D18" s="230">
        <f t="shared" si="0"/>
        <v>0</v>
      </c>
      <c r="E18" s="238">
        <f>'2总成本估算表'!L8</f>
        <v>0</v>
      </c>
      <c r="F18" s="238">
        <f>'2总成本估算表'!M8</f>
        <v>0</v>
      </c>
      <c r="G18" s="238">
        <f>'2总成本估算表'!N8</f>
        <v>0</v>
      </c>
      <c r="H18" s="238">
        <f>'2总成本估算表'!O8</f>
        <v>0</v>
      </c>
      <c r="I18" s="238">
        <f>'2总成本估算表'!P8</f>
        <v>0</v>
      </c>
      <c r="J18" s="238">
        <f>'2总成本估算表'!Q8</f>
        <v>0</v>
      </c>
    </row>
    <row r="19" spans="2:10" ht="17.399999999999999">
      <c r="B19" s="401">
        <v>5</v>
      </c>
      <c r="C19" s="69" t="str">
        <f>C9</f>
        <v>纬九路（经七路-经九路）道路管网建设工程</v>
      </c>
      <c r="D19" s="230">
        <f t="shared" si="0"/>
        <v>0</v>
      </c>
      <c r="E19" s="238">
        <f>'2总成本估算表'!L9</f>
        <v>0</v>
      </c>
      <c r="F19" s="238">
        <f>'2总成本估算表'!M9</f>
        <v>0</v>
      </c>
      <c r="G19" s="238">
        <f>'2总成本估算表'!N9</f>
        <v>0</v>
      </c>
      <c r="H19" s="238">
        <f>'2总成本估算表'!O9</f>
        <v>0</v>
      </c>
      <c r="I19" s="238">
        <f>'2总成本估算表'!P9</f>
        <v>0</v>
      </c>
      <c r="J19" s="238">
        <f>'2总成本估算表'!Q9</f>
        <v>0</v>
      </c>
    </row>
    <row r="20" spans="2:10" ht="17.399999999999999">
      <c r="B20" s="401">
        <v>6</v>
      </c>
      <c r="C20" s="69" t="str">
        <f>C10</f>
        <v>危险品运输车辆停车场项目</v>
      </c>
      <c r="D20" s="230">
        <f t="shared" si="0"/>
        <v>2324.9667213188382</v>
      </c>
      <c r="E20" s="238">
        <f>'2总成本估算表'!L10</f>
        <v>101.54487110399998</v>
      </c>
      <c r="F20" s="238">
        <f>'2总成本估算表'!M10</f>
        <v>103.57576852607998</v>
      </c>
      <c r="G20" s="238">
        <f>'2总成本估算表'!N10</f>
        <v>105.64728389660158</v>
      </c>
      <c r="H20" s="238">
        <f>'2总成本估算表'!O10</f>
        <v>107.76022957453361</v>
      </c>
      <c r="I20" s="238">
        <f>'2总成本估算表'!P10</f>
        <v>109.91543416602428</v>
      </c>
      <c r="J20" s="238">
        <f>'2总成本估算表'!Q10</f>
        <v>112.11374284934477</v>
      </c>
    </row>
    <row r="21" spans="2:10" ht="17.399999999999999">
      <c r="B21" s="492" t="s">
        <v>85</v>
      </c>
      <c r="C21" s="492"/>
      <c r="D21" s="230">
        <f t="shared" si="0"/>
        <v>2324.9667213188382</v>
      </c>
      <c r="E21" s="238">
        <f>'2总成本估算表'!L11</f>
        <v>101.54487110399998</v>
      </c>
      <c r="F21" s="238">
        <f>'2总成本估算表'!M11</f>
        <v>103.57576852607998</v>
      </c>
      <c r="G21" s="238">
        <f>'2总成本估算表'!N11</f>
        <v>105.64728389660158</v>
      </c>
      <c r="H21" s="238">
        <f>'2总成本估算表'!O11</f>
        <v>107.76022957453361</v>
      </c>
      <c r="I21" s="238">
        <f>'2总成本估算表'!P11</f>
        <v>109.91543416602428</v>
      </c>
      <c r="J21" s="238">
        <f>'2总成本估算表'!Q11</f>
        <v>112.11374284934477</v>
      </c>
    </row>
    <row r="22" spans="2:10">
      <c r="B22" s="3"/>
      <c r="C22" s="3"/>
      <c r="D22" s="3"/>
      <c r="E22" s="3"/>
      <c r="F22" s="3"/>
      <c r="G22" s="3"/>
      <c r="H22" s="3"/>
      <c r="I22" s="3"/>
      <c r="J22" s="3"/>
    </row>
    <row r="23" spans="2:10" ht="17.399999999999999">
      <c r="B23" s="492" t="s">
        <v>56</v>
      </c>
      <c r="C23" s="492" t="s">
        <v>100</v>
      </c>
      <c r="D23" s="492" t="s">
        <v>85</v>
      </c>
      <c r="E23" s="508" t="s">
        <v>497</v>
      </c>
      <c r="F23" s="508"/>
      <c r="G23" s="508"/>
      <c r="H23" s="508"/>
      <c r="I23" s="508"/>
      <c r="J23" s="509"/>
    </row>
    <row r="24" spans="2:10" ht="17.399999999999999">
      <c r="B24" s="492"/>
      <c r="C24" s="492"/>
      <c r="D24" s="492"/>
      <c r="E24" s="401">
        <v>13</v>
      </c>
      <c r="F24" s="401">
        <v>14</v>
      </c>
      <c r="G24" s="401">
        <v>15</v>
      </c>
      <c r="H24" s="401">
        <v>16</v>
      </c>
      <c r="I24" s="401">
        <v>17</v>
      </c>
      <c r="J24" s="401">
        <v>18</v>
      </c>
    </row>
    <row r="25" spans="2:10" ht="17.399999999999999">
      <c r="B25" s="401">
        <v>1</v>
      </c>
      <c r="C25" s="69" t="str">
        <f t="shared" ref="C25:D30" si="1">C5</f>
        <v>化工产业板块雨水泵站及管网工程</v>
      </c>
      <c r="D25" s="230">
        <f t="shared" si="1"/>
        <v>0</v>
      </c>
      <c r="E25" s="238">
        <f>'2总成本估算表'!R5</f>
        <v>0</v>
      </c>
      <c r="F25" s="238">
        <f>'2总成本估算表'!S5</f>
        <v>0</v>
      </c>
      <c r="G25" s="238">
        <f>'2总成本估算表'!T5</f>
        <v>0</v>
      </c>
      <c r="H25" s="238">
        <f>'2总成本估算表'!U5</f>
        <v>0</v>
      </c>
      <c r="I25" s="238">
        <f>'2总成本估算表'!V5</f>
        <v>0</v>
      </c>
      <c r="J25" s="238">
        <f>'2总成本估算表'!W5</f>
        <v>0</v>
      </c>
    </row>
    <row r="26" spans="2:10" ht="17.399999999999999">
      <c r="B26" s="401">
        <v>2</v>
      </c>
      <c r="C26" s="69" t="str">
        <f t="shared" si="1"/>
        <v>新规划支路道路及管网建设工程</v>
      </c>
      <c r="D26" s="230">
        <f t="shared" si="1"/>
        <v>0</v>
      </c>
      <c r="E26" s="238">
        <f>'2总成本估算表'!R6</f>
        <v>0</v>
      </c>
      <c r="F26" s="238">
        <f>'2总成本估算表'!S6</f>
        <v>0</v>
      </c>
      <c r="G26" s="238">
        <f>'2总成本估算表'!T6</f>
        <v>0</v>
      </c>
      <c r="H26" s="238">
        <f>'2总成本估算表'!U6</f>
        <v>0</v>
      </c>
      <c r="I26" s="238">
        <f>'2总成本估算表'!V6</f>
        <v>0</v>
      </c>
      <c r="J26" s="238">
        <f>'2总成本估算表'!W6</f>
        <v>0</v>
      </c>
    </row>
    <row r="27" spans="2:10" ht="17.399999999999999">
      <c r="B27" s="401">
        <v>3</v>
      </c>
      <c r="C27" s="69" t="str">
        <f t="shared" si="1"/>
        <v>新规划支二路道路及管网建设工程</v>
      </c>
      <c r="D27" s="230">
        <f t="shared" si="1"/>
        <v>0</v>
      </c>
      <c r="E27" s="238">
        <f>'2总成本估算表'!R7</f>
        <v>0</v>
      </c>
      <c r="F27" s="238">
        <f>'2总成本估算表'!S7</f>
        <v>0</v>
      </c>
      <c r="G27" s="238">
        <f>'2总成本估算表'!T7</f>
        <v>0</v>
      </c>
      <c r="H27" s="238">
        <f>'2总成本估算表'!U7</f>
        <v>0</v>
      </c>
      <c r="I27" s="238">
        <f>'2总成本估算表'!V7</f>
        <v>0</v>
      </c>
      <c r="J27" s="238">
        <f>'2总成本估算表'!W7</f>
        <v>0</v>
      </c>
    </row>
    <row r="28" spans="2:10" ht="17.399999999999999">
      <c r="B28" s="401">
        <v>4</v>
      </c>
      <c r="C28" s="69" t="str">
        <f t="shared" si="1"/>
        <v>经九路（纬四路-纬九路）道路管网工程</v>
      </c>
      <c r="D28" s="230">
        <f t="shared" si="1"/>
        <v>0</v>
      </c>
      <c r="E28" s="238">
        <f>'2总成本估算表'!R8</f>
        <v>0</v>
      </c>
      <c r="F28" s="238">
        <f>'2总成本估算表'!S8</f>
        <v>0</v>
      </c>
      <c r="G28" s="238">
        <f>'2总成本估算表'!T8</f>
        <v>0</v>
      </c>
      <c r="H28" s="238">
        <f>'2总成本估算表'!U8</f>
        <v>0</v>
      </c>
      <c r="I28" s="238">
        <f>'2总成本估算表'!V8</f>
        <v>0</v>
      </c>
      <c r="J28" s="238">
        <f>'2总成本估算表'!W8</f>
        <v>0</v>
      </c>
    </row>
    <row r="29" spans="2:10" ht="17.399999999999999">
      <c r="B29" s="401">
        <v>5</v>
      </c>
      <c r="C29" s="69" t="str">
        <f t="shared" si="1"/>
        <v>纬九路（经七路-经九路）道路管网建设工程</v>
      </c>
      <c r="D29" s="230">
        <f t="shared" si="1"/>
        <v>0</v>
      </c>
      <c r="E29" s="238">
        <f>'2总成本估算表'!R9</f>
        <v>0</v>
      </c>
      <c r="F29" s="238">
        <f>'2总成本估算表'!S9</f>
        <v>0</v>
      </c>
      <c r="G29" s="238">
        <f>'2总成本估算表'!T9</f>
        <v>0</v>
      </c>
      <c r="H29" s="238">
        <f>'2总成本估算表'!U9</f>
        <v>0</v>
      </c>
      <c r="I29" s="238">
        <f>'2总成本估算表'!V9</f>
        <v>0</v>
      </c>
      <c r="J29" s="238">
        <f>'2总成本估算表'!W9</f>
        <v>0</v>
      </c>
    </row>
    <row r="30" spans="2:10" ht="17.399999999999999">
      <c r="B30" s="401">
        <v>6</v>
      </c>
      <c r="C30" s="69" t="str">
        <f t="shared" si="1"/>
        <v>危险品运输车辆停车场项目</v>
      </c>
      <c r="D30" s="230">
        <f t="shared" si="1"/>
        <v>2324.9667213188382</v>
      </c>
      <c r="E30" s="238">
        <f>'2总成本估算表'!R10</f>
        <v>114.35601770633167</v>
      </c>
      <c r="F30" s="238">
        <f>'2总成本估算表'!S10</f>
        <v>116.64313806045831</v>
      </c>
      <c r="G30" s="238">
        <f>'2总成本估算表'!T10</f>
        <v>118.97600082166748</v>
      </c>
      <c r="H30" s="238">
        <f>'2总成本估算表'!U10</f>
        <v>121.35552083810083</v>
      </c>
      <c r="I30" s="238">
        <f>'2总成本估算表'!V10</f>
        <v>123.78263125486285</v>
      </c>
      <c r="J30" s="238">
        <f>'2总成本估算表'!W10</f>
        <v>126.2582838799601</v>
      </c>
    </row>
    <row r="31" spans="2:10" ht="17.399999999999999">
      <c r="B31" s="492" t="s">
        <v>85</v>
      </c>
      <c r="C31" s="492"/>
      <c r="D31" s="230">
        <f>D11</f>
        <v>2324.9667213188382</v>
      </c>
      <c r="E31" s="238">
        <f>'2总成本估算表'!R11</f>
        <v>114.35601770633167</v>
      </c>
      <c r="F31" s="238">
        <f>'2总成本估算表'!S11</f>
        <v>116.64313806045831</v>
      </c>
      <c r="G31" s="238">
        <f>'2总成本估算表'!T11</f>
        <v>118.97600082166748</v>
      </c>
      <c r="H31" s="238">
        <f>'2总成本估算表'!U11</f>
        <v>121.35552083810083</v>
      </c>
      <c r="I31" s="238">
        <f>'2总成本估算表'!V11</f>
        <v>123.78263125486285</v>
      </c>
      <c r="J31" s="238">
        <f>'2总成本估算表'!W11</f>
        <v>126.2582838799601</v>
      </c>
    </row>
    <row r="32" spans="2:10">
      <c r="B32" s="3"/>
      <c r="C32" s="3"/>
      <c r="D32" s="3"/>
      <c r="E32" s="3"/>
      <c r="F32" s="3"/>
      <c r="G32" s="3"/>
      <c r="H32" s="3"/>
      <c r="I32" s="3"/>
      <c r="J32" s="3"/>
    </row>
    <row r="33" spans="2:10" ht="17.399999999999999">
      <c r="B33" s="492" t="s">
        <v>56</v>
      </c>
      <c r="C33" s="492" t="s">
        <v>100</v>
      </c>
      <c r="D33" s="492" t="s">
        <v>85</v>
      </c>
      <c r="E33" s="492" t="s">
        <v>497</v>
      </c>
      <c r="F33" s="492"/>
      <c r="G33" s="492"/>
      <c r="H33" s="492"/>
      <c r="I33" s="492"/>
      <c r="J33" s="3"/>
    </row>
    <row r="34" spans="2:10" ht="17.399999999999999">
      <c r="B34" s="492"/>
      <c r="C34" s="492"/>
      <c r="D34" s="492"/>
      <c r="E34" s="401">
        <v>19</v>
      </c>
      <c r="F34" s="401">
        <v>20</v>
      </c>
      <c r="G34" s="401">
        <v>21</v>
      </c>
      <c r="H34" s="401">
        <v>22</v>
      </c>
      <c r="I34" s="401">
        <v>23</v>
      </c>
      <c r="J34" s="3"/>
    </row>
    <row r="35" spans="2:10" ht="17.399999999999999">
      <c r="B35" s="401">
        <v>1</v>
      </c>
      <c r="C35" s="69" t="str">
        <f>C15</f>
        <v>化工产业板块雨水泵站及管网工程</v>
      </c>
      <c r="D35" s="230">
        <f>D15</f>
        <v>0</v>
      </c>
      <c r="E35" s="238">
        <f>'2总成本估算表'!X5</f>
        <v>0</v>
      </c>
      <c r="F35" s="238">
        <f>'2总成本估算表'!Y5</f>
        <v>0</v>
      </c>
      <c r="G35" s="238">
        <f>'2总成本估算表'!Z5</f>
        <v>0</v>
      </c>
      <c r="H35" s="238">
        <f>'2总成本估算表'!AA5</f>
        <v>0</v>
      </c>
      <c r="I35" s="238">
        <f>'2总成本估算表'!AB5</f>
        <v>0</v>
      </c>
      <c r="J35" s="3"/>
    </row>
    <row r="36" spans="2:10" ht="17.399999999999999">
      <c r="B36" s="401">
        <v>2</v>
      </c>
      <c r="C36" s="69" t="str">
        <f>C16</f>
        <v>新规划支路道路及管网建设工程</v>
      </c>
      <c r="D36" s="230">
        <f t="shared" ref="D36:D41" si="2">D16</f>
        <v>0</v>
      </c>
      <c r="E36" s="238">
        <f>'2总成本估算表'!X6</f>
        <v>0</v>
      </c>
      <c r="F36" s="238">
        <f>'2总成本估算表'!Y6</f>
        <v>0</v>
      </c>
      <c r="G36" s="238">
        <f>'2总成本估算表'!Z6</f>
        <v>0</v>
      </c>
      <c r="H36" s="238">
        <f>'2总成本估算表'!AA6</f>
        <v>0</v>
      </c>
      <c r="I36" s="238">
        <f>'2总成本估算表'!AB6</f>
        <v>0</v>
      </c>
      <c r="J36" s="3"/>
    </row>
    <row r="37" spans="2:10" ht="17.399999999999999">
      <c r="B37" s="401">
        <v>3</v>
      </c>
      <c r="C37" s="69" t="str">
        <f>C17</f>
        <v>新规划支二路道路及管网建设工程</v>
      </c>
      <c r="D37" s="230">
        <f t="shared" si="2"/>
        <v>0</v>
      </c>
      <c r="E37" s="238">
        <f>'2总成本估算表'!X7</f>
        <v>0</v>
      </c>
      <c r="F37" s="238">
        <f>'2总成本估算表'!Y7</f>
        <v>0</v>
      </c>
      <c r="G37" s="238">
        <f>'2总成本估算表'!Z7</f>
        <v>0</v>
      </c>
      <c r="H37" s="238">
        <f>'2总成本估算表'!AA7</f>
        <v>0</v>
      </c>
      <c r="I37" s="238">
        <f>'2总成本估算表'!AB7</f>
        <v>0</v>
      </c>
      <c r="J37" s="3"/>
    </row>
    <row r="38" spans="2:10" ht="17.399999999999999">
      <c r="B38" s="401">
        <v>4</v>
      </c>
      <c r="C38" s="69" t="str">
        <f>C18</f>
        <v>经九路（纬四路-纬九路）道路管网工程</v>
      </c>
      <c r="D38" s="230">
        <f t="shared" si="2"/>
        <v>0</v>
      </c>
      <c r="E38" s="238">
        <f>'2总成本估算表'!X8</f>
        <v>0</v>
      </c>
      <c r="F38" s="238">
        <f>'2总成本估算表'!Y8</f>
        <v>0</v>
      </c>
      <c r="G38" s="238">
        <f>'2总成本估算表'!Z8</f>
        <v>0</v>
      </c>
      <c r="H38" s="238">
        <f>'2总成本估算表'!AA8</f>
        <v>0</v>
      </c>
      <c r="I38" s="238">
        <f>'2总成本估算表'!AB8</f>
        <v>0</v>
      </c>
      <c r="J38" s="3"/>
    </row>
    <row r="39" spans="2:10" ht="17.399999999999999">
      <c r="B39" s="401">
        <v>5</v>
      </c>
      <c r="C39" s="69" t="str">
        <f>C19</f>
        <v>纬九路（经七路-经九路）道路管网建设工程</v>
      </c>
      <c r="D39" s="230">
        <f t="shared" si="2"/>
        <v>0</v>
      </c>
      <c r="E39" s="238">
        <f>'2总成本估算表'!X9</f>
        <v>0</v>
      </c>
      <c r="F39" s="238">
        <f>'2总成本估算表'!Y9</f>
        <v>0</v>
      </c>
      <c r="G39" s="238">
        <f>'2总成本估算表'!Z9</f>
        <v>0</v>
      </c>
      <c r="H39" s="238">
        <f>'2总成本估算表'!AA9</f>
        <v>0</v>
      </c>
      <c r="I39" s="238">
        <f>'2总成本估算表'!AB9</f>
        <v>0</v>
      </c>
      <c r="J39" s="3"/>
    </row>
    <row r="40" spans="2:10" ht="17.399999999999999">
      <c r="B40" s="401">
        <v>6</v>
      </c>
      <c r="C40" s="69" t="str">
        <f>C20</f>
        <v>危险品运输车辆停车场项目</v>
      </c>
      <c r="D40" s="230">
        <f t="shared" si="2"/>
        <v>2324.9667213188382</v>
      </c>
      <c r="E40" s="238">
        <f>'2总成本估算表'!X10</f>
        <v>128.78344955755929</v>
      </c>
      <c r="F40" s="238">
        <f>'2总成本估算表'!Y10</f>
        <v>131.35911854871048</v>
      </c>
      <c r="G40" s="238">
        <f>'2总成本估算表'!Z10</f>
        <v>133.98630091968471</v>
      </c>
      <c r="H40" s="238">
        <f>'2总成本估算表'!AA10</f>
        <v>136.6660269380784</v>
      </c>
      <c r="I40" s="238">
        <f>'2总成本估算表'!AB10</f>
        <v>139.39934747683998</v>
      </c>
      <c r="J40" s="3"/>
    </row>
    <row r="41" spans="2:10" ht="17.399999999999999">
      <c r="B41" s="492" t="s">
        <v>85</v>
      </c>
      <c r="C41" s="492"/>
      <c r="D41" s="230">
        <f t="shared" si="2"/>
        <v>2324.9667213188382</v>
      </c>
      <c r="E41" s="238">
        <f>'2总成本估算表'!X11</f>
        <v>128.78344955755929</v>
      </c>
      <c r="F41" s="238">
        <f>'2总成本估算表'!Y11</f>
        <v>131.35911854871048</v>
      </c>
      <c r="G41" s="238">
        <f>'2总成本估算表'!Z11</f>
        <v>133.98630091968471</v>
      </c>
      <c r="H41" s="238">
        <f>'2总成本估算表'!AA11</f>
        <v>136.6660269380784</v>
      </c>
      <c r="I41" s="238">
        <f>'2总成本估算表'!AB11</f>
        <v>139.39934747683998</v>
      </c>
      <c r="J41" s="3"/>
    </row>
    <row r="46" spans="2:10" ht="24.9" customHeight="1"/>
    <row r="47" spans="2:10" ht="24.9" customHeight="1"/>
    <row r="48" spans="2:10"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sheetData>
  <mergeCells count="21">
    <mergeCell ref="B11:C11"/>
    <mergeCell ref="D23:D24"/>
    <mergeCell ref="E3:G3"/>
    <mergeCell ref="H3:J3"/>
    <mergeCell ref="B3:B4"/>
    <mergeCell ref="C3:C4"/>
    <mergeCell ref="D3:D4"/>
    <mergeCell ref="B31:C31"/>
    <mergeCell ref="E13:J13"/>
    <mergeCell ref="E23:J23"/>
    <mergeCell ref="B13:B14"/>
    <mergeCell ref="C13:C14"/>
    <mergeCell ref="D13:D14"/>
    <mergeCell ref="B21:C21"/>
    <mergeCell ref="B23:B24"/>
    <mergeCell ref="C23:C24"/>
    <mergeCell ref="B33:B34"/>
    <mergeCell ref="C33:C34"/>
    <mergeCell ref="D33:D34"/>
    <mergeCell ref="B41:C41"/>
    <mergeCell ref="E33:I33"/>
  </mergeCells>
  <phoneticPr fontId="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topLeftCell="B1" workbookViewId="0">
      <selection activeCell="E13" sqref="E13"/>
    </sheetView>
  </sheetViews>
  <sheetFormatPr defaultColWidth="11" defaultRowHeight="17.399999999999999"/>
  <cols>
    <col min="2" max="2" width="13.08984375" style="27" customWidth="1"/>
    <col min="3" max="3" width="41.08984375" style="27" customWidth="1"/>
    <col min="4" max="4" width="27.26953125" style="27" customWidth="1"/>
  </cols>
  <sheetData>
    <row r="1" spans="2:6" ht="9" customHeight="1"/>
    <row r="2" spans="2:6" ht="24.9" customHeight="1">
      <c r="B2" s="513" t="s">
        <v>582</v>
      </c>
      <c r="C2" s="513"/>
      <c r="D2" s="513"/>
    </row>
    <row r="3" spans="2:6" ht="24.9" customHeight="1">
      <c r="B3" s="435" t="s">
        <v>7</v>
      </c>
      <c r="C3" s="435" t="s">
        <v>8</v>
      </c>
      <c r="D3" s="435" t="s">
        <v>9</v>
      </c>
      <c r="F3" s="433"/>
    </row>
    <row r="4" spans="2:6" ht="24.9" customHeight="1">
      <c r="B4" s="435" t="s">
        <v>12</v>
      </c>
      <c r="C4" s="435" t="s">
        <v>13</v>
      </c>
      <c r="D4" s="426">
        <f>D7+D8+D9+D11</f>
        <v>63888.890000000007</v>
      </c>
    </row>
    <row r="5" spans="2:6" ht="24.9" customHeight="1">
      <c r="B5" s="435" t="s">
        <v>14</v>
      </c>
      <c r="C5" s="435" t="s">
        <v>370</v>
      </c>
      <c r="D5" s="436">
        <v>46244.71</v>
      </c>
    </row>
    <row r="6" spans="2:6" ht="24.9" customHeight="1">
      <c r="B6" s="435"/>
      <c r="C6" s="435" t="s">
        <v>580</v>
      </c>
      <c r="D6" s="434"/>
    </row>
    <row r="7" spans="2:6" ht="24.9" customHeight="1">
      <c r="B7" s="435"/>
      <c r="C7" s="435" t="s">
        <v>581</v>
      </c>
      <c r="D7" s="436">
        <f>D5*(1-D6)</f>
        <v>46244.71</v>
      </c>
    </row>
    <row r="8" spans="2:6" ht="24.9" customHeight="1">
      <c r="B8" s="435" t="s">
        <v>16</v>
      </c>
      <c r="C8" s="435" t="s">
        <v>369</v>
      </c>
      <c r="D8" s="426">
        <f>可研资料整理!E12</f>
        <v>4034.34</v>
      </c>
    </row>
    <row r="9" spans="2:6" ht="24.9" customHeight="1">
      <c r="B9" s="435" t="s">
        <v>18</v>
      </c>
      <c r="C9" s="435" t="s">
        <v>17</v>
      </c>
      <c r="D9" s="426">
        <f>可研资料整理!F12</f>
        <v>10410.43</v>
      </c>
    </row>
    <row r="10" spans="2:6" ht="24.9" customHeight="1">
      <c r="B10" s="511" t="s">
        <v>25</v>
      </c>
      <c r="C10" s="511"/>
      <c r="D10" s="426">
        <f>可研资料整理!G12</f>
        <v>6918.6</v>
      </c>
    </row>
    <row r="11" spans="2:6" ht="24.9" customHeight="1">
      <c r="B11" s="435" t="s">
        <v>19</v>
      </c>
      <c r="C11" s="435" t="s">
        <v>20</v>
      </c>
      <c r="D11" s="426">
        <f>可研资料整理!H12</f>
        <v>3199.4100000000003</v>
      </c>
    </row>
    <row r="12" spans="2:6" ht="24.9" customHeight="1">
      <c r="B12" s="435" t="s">
        <v>21</v>
      </c>
      <c r="C12" s="435" t="s">
        <v>22</v>
      </c>
      <c r="D12" s="426">
        <f ca="1">'2投资计划表'!H16</f>
        <v>4483.148971327968</v>
      </c>
    </row>
    <row r="13" spans="2:6" ht="24.9" customHeight="1">
      <c r="B13" s="511" t="s">
        <v>371</v>
      </c>
      <c r="C13" s="511"/>
      <c r="D13" s="426">
        <f ca="1">D4+D12</f>
        <v>68372.038971327973</v>
      </c>
    </row>
    <row r="14" spans="2:6" ht="24.9" customHeight="1">
      <c r="B14" s="512" t="s">
        <v>589</v>
      </c>
      <c r="C14" s="512"/>
      <c r="D14" s="512"/>
    </row>
    <row r="15" spans="2:6" ht="20.100000000000001" customHeight="1"/>
    <row r="16" spans="2: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sheetProtection algorithmName="SHA-512" hashValue="OT5fo1rl/5lUZysKOyxjsaK/j2rQVhErunLX+Hfwka90KjYe56SPKqdeTSW6E2P0tBR0Vn8WoKXM0rw+x0LqhQ==" saltValue="jugb2nHvMbB0Jqa+osl6IA==" spinCount="100000" sheet="1" objects="1" scenarios="1"/>
  <mergeCells count="4">
    <mergeCell ref="B10:C10"/>
    <mergeCell ref="B13:C13"/>
    <mergeCell ref="B14:D14"/>
    <mergeCell ref="B2:D2"/>
  </mergeCells>
  <phoneticPr fontId="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34"/>
  <sheetViews>
    <sheetView topLeftCell="A4" zoomScaleNormal="100" workbookViewId="0">
      <selection activeCell="E8" sqref="E8"/>
    </sheetView>
  </sheetViews>
  <sheetFormatPr defaultColWidth="11" defaultRowHeight="15.6"/>
  <cols>
    <col min="1" max="2" width="11" style="422"/>
    <col min="3" max="3" width="27.453125" style="422" customWidth="1"/>
    <col min="4" max="4" width="13" style="422" customWidth="1"/>
    <col min="5" max="5" width="12.6328125" style="422" customWidth="1"/>
    <col min="6" max="6" width="18.6328125" style="422" customWidth="1"/>
    <col min="7" max="7" width="14.7265625" style="422" customWidth="1"/>
    <col min="8" max="8" width="17.36328125" style="422" customWidth="1"/>
    <col min="9" max="10" width="21.26953125" style="422" customWidth="1"/>
    <col min="11" max="16384" width="11" style="422"/>
  </cols>
  <sheetData>
    <row r="2" spans="2:11" ht="39.9" customHeight="1">
      <c r="B2" s="513" t="s">
        <v>568</v>
      </c>
      <c r="C2" s="513"/>
      <c r="D2" s="513"/>
      <c r="E2" s="513"/>
      <c r="F2" s="513"/>
      <c r="G2" s="513"/>
      <c r="H2" s="513"/>
      <c r="I2" s="513"/>
      <c r="J2" s="513"/>
      <c r="K2" s="513"/>
    </row>
    <row r="3" spans="2:11" ht="39.9" customHeight="1">
      <c r="B3" s="435" t="s">
        <v>7</v>
      </c>
      <c r="C3" s="435" t="s">
        <v>8</v>
      </c>
      <c r="D3" s="435" t="s">
        <v>457</v>
      </c>
      <c r="E3" s="435" t="s">
        <v>565</v>
      </c>
      <c r="F3" s="437" t="str">
        <f>C16</f>
        <v>化工产业板块雨水泵站及管网工程</v>
      </c>
      <c r="G3" s="437" t="str">
        <f>C17</f>
        <v>新规划支路道路及管网建设工程</v>
      </c>
      <c r="H3" s="437" t="str">
        <f>C18</f>
        <v>新规划支二路道路及管网建设工程</v>
      </c>
      <c r="I3" s="437" t="str">
        <f>C19</f>
        <v>经九路（纬四路-纬九路）道路管网工程</v>
      </c>
      <c r="J3" s="437" t="str">
        <f>C20</f>
        <v>纬九路（经七路-经九路）道路管网建设工程</v>
      </c>
      <c r="K3" s="435" t="s">
        <v>42</v>
      </c>
    </row>
    <row r="4" spans="2:11" ht="39.9" customHeight="1">
      <c r="B4" s="435">
        <v>1</v>
      </c>
      <c r="C4" s="438" t="s">
        <v>458</v>
      </c>
      <c r="D4" s="435" t="s">
        <v>461</v>
      </c>
      <c r="E4" s="430"/>
      <c r="F4" s="435"/>
      <c r="G4" s="426">
        <f>E4*$D$18/10000</f>
        <v>0</v>
      </c>
      <c r="H4" s="426">
        <f>E4*$D$18/10000</f>
        <v>0</v>
      </c>
      <c r="I4" s="426">
        <f>E4*$D$19/10000</f>
        <v>0</v>
      </c>
      <c r="J4" s="426">
        <f>E4*$D$20/10000</f>
        <v>0</v>
      </c>
      <c r="K4" s="426">
        <f>SUM(F4:J4)</f>
        <v>0</v>
      </c>
    </row>
    <row r="5" spans="2:11" ht="39.9" customHeight="1">
      <c r="B5" s="435">
        <v>2</v>
      </c>
      <c r="C5" s="438" t="s">
        <v>459</v>
      </c>
      <c r="D5" s="435" t="s">
        <v>461</v>
      </c>
      <c r="E5" s="430"/>
      <c r="F5" s="435"/>
      <c r="G5" s="426">
        <f>D18*E5/10000</f>
        <v>0</v>
      </c>
      <c r="H5" s="426">
        <f>E18*E5/10000</f>
        <v>0</v>
      </c>
      <c r="I5" s="426">
        <f>E19*E5/10000</f>
        <v>0</v>
      </c>
      <c r="J5" s="435"/>
      <c r="K5" s="426">
        <f t="shared" ref="K5:K9" si="0">SUM(F5:J5)</f>
        <v>0</v>
      </c>
    </row>
    <row r="6" spans="2:11" ht="39.9" customHeight="1">
      <c r="B6" s="435">
        <v>3</v>
      </c>
      <c r="C6" s="438" t="s">
        <v>460</v>
      </c>
      <c r="D6" s="435" t="s">
        <v>462</v>
      </c>
      <c r="E6" s="430"/>
      <c r="F6" s="426">
        <f>F16*E6/10000</f>
        <v>0</v>
      </c>
      <c r="G6" s="426">
        <f>F17*E6/10000</f>
        <v>0</v>
      </c>
      <c r="H6" s="426">
        <f>F18*E6/10000</f>
        <v>0</v>
      </c>
      <c r="I6" s="426">
        <f>F19*E6/10000</f>
        <v>0</v>
      </c>
      <c r="J6" s="426">
        <f>E6*$F$20/10000</f>
        <v>0</v>
      </c>
      <c r="K6" s="426">
        <f t="shared" si="0"/>
        <v>0</v>
      </c>
    </row>
    <row r="7" spans="2:11" ht="39.9" customHeight="1">
      <c r="B7" s="519">
        <v>4</v>
      </c>
      <c r="C7" s="521" t="s">
        <v>424</v>
      </c>
      <c r="D7" s="523" t="s">
        <v>571</v>
      </c>
      <c r="E7" s="524"/>
      <c r="F7" s="426">
        <f>可研资料整理!I3</f>
        <v>10526.189999999999</v>
      </c>
      <c r="G7" s="426"/>
      <c r="H7" s="426"/>
      <c r="I7" s="426"/>
      <c r="J7" s="426"/>
      <c r="K7" s="426">
        <v>0</v>
      </c>
    </row>
    <row r="8" spans="2:11" ht="39.9" customHeight="1">
      <c r="B8" s="520"/>
      <c r="C8" s="522"/>
      <c r="D8" s="439" t="s">
        <v>570</v>
      </c>
      <c r="E8" s="431"/>
      <c r="F8" s="426">
        <f>F7*$E$8</f>
        <v>0</v>
      </c>
      <c r="G8" s="426"/>
      <c r="H8" s="426"/>
      <c r="I8" s="426"/>
      <c r="J8" s="426"/>
      <c r="K8" s="426">
        <f t="shared" si="0"/>
        <v>0</v>
      </c>
    </row>
    <row r="9" spans="2:11" ht="39.9" customHeight="1">
      <c r="B9" s="435">
        <v>5</v>
      </c>
      <c r="C9" s="435" t="s">
        <v>463</v>
      </c>
      <c r="D9" s="511" t="s">
        <v>464</v>
      </c>
      <c r="E9" s="511"/>
      <c r="F9" s="426">
        <f>(SUM(F4:F8)-F7)*20%</f>
        <v>0</v>
      </c>
      <c r="G9" s="426">
        <f>SUM(G4:G8)*20%</f>
        <v>0</v>
      </c>
      <c r="H9" s="426">
        <f>SUM(H4:H8)*20%</f>
        <v>0</v>
      </c>
      <c r="I9" s="426">
        <f>SUM(I4:I8)*20%</f>
        <v>0</v>
      </c>
      <c r="J9" s="426">
        <f>SUM(J4:J8)*20%</f>
        <v>0</v>
      </c>
      <c r="K9" s="426">
        <f t="shared" si="0"/>
        <v>0</v>
      </c>
    </row>
    <row r="10" spans="2:11" ht="39.9" customHeight="1">
      <c r="B10" s="514" t="s">
        <v>42</v>
      </c>
      <c r="C10" s="515"/>
      <c r="D10" s="515"/>
      <c r="E10" s="516"/>
      <c r="F10" s="426">
        <f>SUM(F4:F9)-F7</f>
        <v>0</v>
      </c>
      <c r="G10" s="426">
        <f>SUM(G4:G9)</f>
        <v>0</v>
      </c>
      <c r="H10" s="426">
        <f>SUM(H4:H9)</f>
        <v>0</v>
      </c>
      <c r="I10" s="426">
        <f t="shared" ref="I10:J10" si="1">SUM(I4:I9)</f>
        <v>0</v>
      </c>
      <c r="J10" s="426">
        <f t="shared" si="1"/>
        <v>0</v>
      </c>
      <c r="K10" s="426">
        <f>SUM(F10:J10)</f>
        <v>0</v>
      </c>
    </row>
    <row r="11" spans="2:11" ht="72.75" customHeight="1">
      <c r="B11" s="517" t="s">
        <v>586</v>
      </c>
      <c r="C11" s="512"/>
      <c r="D11" s="512"/>
      <c r="E11" s="512"/>
      <c r="F11" s="512"/>
      <c r="G11" s="512"/>
      <c r="H11" s="512"/>
      <c r="I11" s="512"/>
      <c r="J11" s="512"/>
      <c r="K11" s="512"/>
    </row>
    <row r="12" spans="2:11" ht="39.9" customHeight="1"/>
    <row r="13" spans="2:11" ht="39.9" customHeight="1"/>
    <row r="14" spans="2:11" ht="39.9" hidden="1" customHeight="1">
      <c r="B14" s="518" t="s">
        <v>569</v>
      </c>
      <c r="C14" s="518"/>
      <c r="D14" s="518"/>
      <c r="E14" s="518"/>
      <c r="F14" s="518"/>
      <c r="G14" s="518"/>
      <c r="H14" s="518"/>
      <c r="I14" s="518"/>
    </row>
    <row r="15" spans="2:11" ht="39.9" hidden="1" customHeight="1">
      <c r="B15" s="211" t="s">
        <v>7</v>
      </c>
      <c r="C15" s="211" t="s">
        <v>39</v>
      </c>
      <c r="D15" s="417" t="s">
        <v>467</v>
      </c>
      <c r="E15" s="417" t="s">
        <v>470</v>
      </c>
      <c r="F15" s="417" t="s">
        <v>468</v>
      </c>
      <c r="G15" s="417" t="s">
        <v>469</v>
      </c>
      <c r="H15" s="211" t="s">
        <v>465</v>
      </c>
      <c r="I15" s="211" t="s">
        <v>466</v>
      </c>
    </row>
    <row r="16" spans="2:11" ht="39.9" hidden="1" customHeight="1">
      <c r="B16" s="211">
        <v>1</v>
      </c>
      <c r="C16" s="428" t="str">
        <f>'5-1运营成本--各子项目内容'!C5</f>
        <v>化工产业板块雨水泵站及管网工程</v>
      </c>
      <c r="D16" s="417"/>
      <c r="E16" s="211"/>
      <c r="F16" s="211">
        <f>'5-1运营成本--各子项目内容'!E21</f>
        <v>1035</v>
      </c>
      <c r="G16" s="211">
        <v>1</v>
      </c>
      <c r="H16" s="211"/>
      <c r="I16" s="211"/>
    </row>
    <row r="17" spans="2:9" ht="39.9" hidden="1" customHeight="1">
      <c r="B17" s="211">
        <v>2</v>
      </c>
      <c r="C17" s="428" t="str">
        <f>'5-1运营成本--各子项目内容'!C6</f>
        <v>新规划支路道路及管网建设工程</v>
      </c>
      <c r="D17" s="417">
        <f>'5-1运营成本--各子项目内容'!J6</f>
        <v>18000</v>
      </c>
      <c r="E17" s="211">
        <f>'5-1运营成本--各子项目内容'!L6</f>
        <v>32000</v>
      </c>
      <c r="F17" s="211">
        <f>'5-1运营成本--各子项目内容'!D22*4</f>
        <v>8000</v>
      </c>
      <c r="G17" s="211"/>
      <c r="H17" s="211">
        <f>'5-1运营成本--各子项目内容'!O14</f>
        <v>9</v>
      </c>
      <c r="I17" s="211">
        <f>'5-1运营成本--各子项目内容'!D14</f>
        <v>2000</v>
      </c>
    </row>
    <row r="18" spans="2:9" ht="39.9" hidden="1" customHeight="1">
      <c r="B18" s="211">
        <v>3</v>
      </c>
      <c r="C18" s="428" t="str">
        <f>'5-1运营成本--各子项目内容'!C7</f>
        <v>新规划支二路道路及管网建设工程</v>
      </c>
      <c r="D18" s="417">
        <f>'5-1运营成本--各子项目内容'!J7</f>
        <v>11700</v>
      </c>
      <c r="E18" s="211">
        <f>'5-1运营成本--各子项目内容'!L7</f>
        <v>20800</v>
      </c>
      <c r="F18" s="211">
        <f>'5-1运营成本--各子项目内容'!D23*4</f>
        <v>5200</v>
      </c>
      <c r="G18" s="211"/>
      <c r="H18" s="211">
        <f>'5-1运营成本--各子项目内容'!O15</f>
        <v>9</v>
      </c>
      <c r="I18" s="211">
        <f>'5-1运营成本--各子项目内容'!D15</f>
        <v>1300</v>
      </c>
    </row>
    <row r="19" spans="2:9" ht="39.9" hidden="1" customHeight="1">
      <c r="B19" s="211">
        <v>4</v>
      </c>
      <c r="C19" s="428" t="str">
        <f>'5-1运营成本--各子项目内容'!C8</f>
        <v>经九路（纬四路-纬九路）道路管网工程</v>
      </c>
      <c r="D19" s="417">
        <f>'5-1运营成本--各子项目内容'!J8</f>
        <v>32200</v>
      </c>
      <c r="E19" s="211">
        <f>'5-1运营成本--各子项目内容'!L8</f>
        <v>0</v>
      </c>
      <c r="F19" s="211">
        <f>'5-1运营成本--各子项目内容'!D24*4</f>
        <v>5600</v>
      </c>
      <c r="G19" s="211"/>
      <c r="H19" s="211">
        <f>'5-1运营成本--各子项目内容'!O16</f>
        <v>23</v>
      </c>
      <c r="I19" s="211">
        <f>'5-1运营成本--各子项目内容'!D16</f>
        <v>1400</v>
      </c>
    </row>
    <row r="20" spans="2:9" ht="39.9" hidden="1" customHeight="1">
      <c r="B20" s="211">
        <v>5</v>
      </c>
      <c r="C20" s="428" t="str">
        <f>'5-1运营成本--各子项目内容'!C9</f>
        <v>纬九路（经七路-经九路）道路管网建设工程</v>
      </c>
      <c r="D20" s="417">
        <f>'5-1运营成本--各子项目内容'!J9</f>
        <v>33407</v>
      </c>
      <c r="E20" s="211">
        <f>'5-1运营成本--各子项目内容'!L9</f>
        <v>5628</v>
      </c>
      <c r="F20" s="211">
        <f>'5-1运营成本--各子项目内容'!D25*4</f>
        <v>8408</v>
      </c>
      <c r="G20" s="211"/>
      <c r="H20" s="211">
        <f>'5-1运营成本--各子项目内容'!O17</f>
        <v>15</v>
      </c>
      <c r="I20" s="211">
        <f>'5-1运营成本--各子项目内容'!D17</f>
        <v>2102</v>
      </c>
    </row>
    <row r="21" spans="2:9" ht="39.9" customHeight="1"/>
    <row r="22" spans="2:9" ht="39.9" customHeight="1"/>
    <row r="23" spans="2:9" ht="39.9" customHeight="1"/>
    <row r="24" spans="2:9" ht="87.9" customHeight="1"/>
    <row r="25" spans="2:9" ht="39.9" customHeight="1"/>
    <row r="26" spans="2:9" ht="39.9" customHeight="1"/>
    <row r="27" spans="2:9" ht="39.9" customHeight="1"/>
    <row r="28" spans="2:9" ht="39.9" customHeight="1"/>
    <row r="29" spans="2:9" ht="39.9" customHeight="1"/>
    <row r="30" spans="2:9" ht="39.9" customHeight="1"/>
    <row r="31" spans="2:9" ht="39.9" customHeight="1"/>
    <row r="32" spans="2:9" ht="87" customHeight="1"/>
    <row r="33" ht="39.9" customHeight="1"/>
    <row r="34" ht="39.9" customHeight="1"/>
  </sheetData>
  <sheetProtection algorithmName="SHA-512" hashValue="jEdpK3H79S8GLCCngAc9WUA5QY2fl+acCR5e2YeQuYEjMOOVsZbEPRdC1Utv/sxM4JjDJj78xCJ4G1CvelrG0w==" saltValue="/3Wn27G1rUqOtDISuJVcvg==" spinCount="100000" sheet="1" objects="1" scenarios="1"/>
  <mergeCells count="8">
    <mergeCell ref="D9:E9"/>
    <mergeCell ref="B10:E10"/>
    <mergeCell ref="B11:K11"/>
    <mergeCell ref="B2:K2"/>
    <mergeCell ref="B14:I14"/>
    <mergeCell ref="B7:B8"/>
    <mergeCell ref="C7:C8"/>
    <mergeCell ref="D7:E7"/>
  </mergeCells>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26"/>
  <sheetViews>
    <sheetView zoomScale="80" zoomScaleNormal="80" workbookViewId="0">
      <selection activeCell="E22" sqref="E22:E25"/>
    </sheetView>
  </sheetViews>
  <sheetFormatPr defaultColWidth="11" defaultRowHeight="17.399999999999999"/>
  <cols>
    <col min="2" max="2" width="10.453125" style="24" customWidth="1"/>
    <col min="3" max="3" width="38.453125" style="24" customWidth="1"/>
    <col min="4" max="5" width="19.08984375" style="24" bestFit="1" customWidth="1"/>
    <col min="6" max="6" width="16.6328125" style="24" bestFit="1" customWidth="1"/>
    <col min="7" max="7" width="18.08984375" style="24" bestFit="1" customWidth="1"/>
    <col min="8" max="9" width="24.36328125" style="24" bestFit="1" customWidth="1"/>
    <col min="10" max="10" width="24.36328125" bestFit="1" customWidth="1"/>
    <col min="11" max="12" width="11.6328125" bestFit="1" customWidth="1"/>
    <col min="13" max="13" width="19.453125" customWidth="1"/>
  </cols>
  <sheetData>
    <row r="1" spans="2:17" ht="39.9" customHeight="1"/>
    <row r="2" spans="2:17" ht="39.9" customHeight="1">
      <c r="B2" s="203" t="s">
        <v>102</v>
      </c>
      <c r="C2" s="28"/>
      <c r="D2" s="28"/>
      <c r="E2" s="28"/>
      <c r="F2" s="28"/>
      <c r="G2" s="28"/>
      <c r="H2" s="28"/>
      <c r="I2" s="28"/>
      <c r="J2" s="28"/>
    </row>
    <row r="3" spans="2:17" ht="39.9" customHeight="1">
      <c r="B3" s="389"/>
      <c r="C3" s="389"/>
      <c r="D3" s="492" t="s">
        <v>434</v>
      </c>
      <c r="E3" s="492"/>
      <c r="F3" s="492"/>
      <c r="G3" s="492"/>
      <c r="H3" s="492"/>
      <c r="I3" s="492"/>
      <c r="J3" s="492" t="s">
        <v>418</v>
      </c>
      <c r="K3" s="492"/>
      <c r="L3" s="492"/>
      <c r="M3" s="492"/>
      <c r="N3" s="492"/>
      <c r="O3" s="492"/>
    </row>
    <row r="4" spans="2:17" ht="34.799999999999997">
      <c r="B4" s="389" t="s">
        <v>7</v>
      </c>
      <c r="C4" s="389" t="s">
        <v>39</v>
      </c>
      <c r="D4" s="204" t="s">
        <v>312</v>
      </c>
      <c r="E4" s="204" t="s">
        <v>313</v>
      </c>
      <c r="F4" s="293" t="s">
        <v>423</v>
      </c>
      <c r="G4" s="293" t="s">
        <v>424</v>
      </c>
      <c r="H4" s="204" t="s">
        <v>314</v>
      </c>
      <c r="I4" s="204" t="s">
        <v>315</v>
      </c>
      <c r="J4" s="294" t="s">
        <v>420</v>
      </c>
      <c r="K4" s="294" t="s">
        <v>429</v>
      </c>
      <c r="L4" s="293" t="s">
        <v>421</v>
      </c>
      <c r="M4" s="294" t="s">
        <v>431</v>
      </c>
      <c r="N4" s="293" t="s">
        <v>377</v>
      </c>
      <c r="O4" s="396" t="s">
        <v>426</v>
      </c>
    </row>
    <row r="5" spans="2:17" ht="33" customHeight="1">
      <c r="B5" s="389">
        <v>1</v>
      </c>
      <c r="C5" s="69" t="str">
        <f>项目清单!B4</f>
        <v>化工产业板块雨水泵站及管网工程</v>
      </c>
      <c r="D5" s="389"/>
      <c r="E5" s="389"/>
      <c r="F5" s="293"/>
      <c r="G5" s="293"/>
      <c r="H5" s="389"/>
      <c r="I5" s="389"/>
      <c r="J5" s="389"/>
      <c r="K5" s="389"/>
      <c r="L5" s="389"/>
      <c r="M5" s="391"/>
      <c r="N5" s="391"/>
      <c r="O5" s="391"/>
    </row>
    <row r="6" spans="2:17" ht="33.9" customHeight="1">
      <c r="B6" s="389">
        <v>2</v>
      </c>
      <c r="C6" s="69" t="str">
        <f>项目清单!B5</f>
        <v>新规划支路道路及管网建设工程</v>
      </c>
      <c r="D6" s="389">
        <v>2000</v>
      </c>
      <c r="E6" s="389">
        <v>2000</v>
      </c>
      <c r="F6" s="293"/>
      <c r="G6" s="293"/>
      <c r="H6" s="389">
        <v>2000</v>
      </c>
      <c r="I6" s="389">
        <v>2000</v>
      </c>
      <c r="J6" s="389">
        <f t="shared" ref="J6:N8" si="0">E14</f>
        <v>18000</v>
      </c>
      <c r="K6" s="389">
        <f t="shared" si="0"/>
        <v>0</v>
      </c>
      <c r="L6" s="389">
        <f t="shared" si="0"/>
        <v>32000</v>
      </c>
      <c r="M6" s="389">
        <f t="shared" si="0"/>
        <v>664</v>
      </c>
      <c r="N6" s="389">
        <f t="shared" si="0"/>
        <v>124</v>
      </c>
      <c r="O6" s="391">
        <f>D14</f>
        <v>2000</v>
      </c>
    </row>
    <row r="7" spans="2:17" ht="33" customHeight="1">
      <c r="B7" s="389">
        <v>3</v>
      </c>
      <c r="C7" s="69" t="str">
        <f>项目清单!B6</f>
        <v>新规划支二路道路及管网建设工程</v>
      </c>
      <c r="D7" s="389">
        <v>1300</v>
      </c>
      <c r="E7" s="389">
        <v>1300</v>
      </c>
      <c r="F7" s="293"/>
      <c r="G7" s="293"/>
      <c r="H7" s="389">
        <v>1300</v>
      </c>
      <c r="I7" s="389">
        <v>1300</v>
      </c>
      <c r="J7" s="389">
        <f t="shared" si="0"/>
        <v>11700</v>
      </c>
      <c r="K7" s="389">
        <f t="shared" si="0"/>
        <v>0</v>
      </c>
      <c r="L7" s="389">
        <f t="shared" si="0"/>
        <v>20800</v>
      </c>
      <c r="M7" s="389">
        <f t="shared" si="0"/>
        <v>433</v>
      </c>
      <c r="N7" s="389">
        <f t="shared" si="0"/>
        <v>80</v>
      </c>
      <c r="O7" s="391">
        <f>D15</f>
        <v>1300</v>
      </c>
    </row>
    <row r="8" spans="2:17" ht="41.1" customHeight="1">
      <c r="B8" s="389">
        <v>4</v>
      </c>
      <c r="C8" s="69" t="str">
        <f>项目清单!B7</f>
        <v>经九路（纬四路-纬九路）道路管网工程</v>
      </c>
      <c r="D8" s="389">
        <v>1400</v>
      </c>
      <c r="E8" s="389">
        <v>1400</v>
      </c>
      <c r="F8" s="293"/>
      <c r="G8" s="293"/>
      <c r="H8" s="389">
        <v>1400</v>
      </c>
      <c r="I8" s="389">
        <v>1400</v>
      </c>
      <c r="J8" s="389">
        <f t="shared" si="0"/>
        <v>32200</v>
      </c>
      <c r="K8" s="389">
        <f t="shared" si="0"/>
        <v>11900</v>
      </c>
      <c r="L8" s="389">
        <f t="shared" si="0"/>
        <v>0</v>
      </c>
      <c r="M8" s="389">
        <f t="shared" si="0"/>
        <v>560</v>
      </c>
      <c r="N8" s="389">
        <f t="shared" si="0"/>
        <v>70</v>
      </c>
      <c r="O8" s="391">
        <f>D16</f>
        <v>1400</v>
      </c>
    </row>
    <row r="9" spans="2:17" ht="34.799999999999997">
      <c r="B9" s="389">
        <v>5</v>
      </c>
      <c r="C9" s="69" t="str">
        <f>项目清单!B8</f>
        <v>纬九路（经七路-经九路）道路管网建设工程</v>
      </c>
      <c r="D9" s="389">
        <v>2102</v>
      </c>
      <c r="E9" s="389">
        <v>2102</v>
      </c>
      <c r="F9" s="389"/>
      <c r="G9" s="389"/>
      <c r="H9" s="389">
        <v>2102</v>
      </c>
      <c r="I9" s="389">
        <v>2102</v>
      </c>
      <c r="J9" s="389">
        <v>33407</v>
      </c>
      <c r="K9" s="389">
        <v>14714</v>
      </c>
      <c r="L9" s="389">
        <v>5628</v>
      </c>
      <c r="M9" s="389">
        <v>2554</v>
      </c>
      <c r="N9" s="389">
        <v>140</v>
      </c>
      <c r="O9" s="391"/>
    </row>
    <row r="10" spans="2:17" ht="39.9" customHeight="1">
      <c r="B10" s="228"/>
      <c r="C10" s="228"/>
      <c r="D10" s="228"/>
      <c r="E10" s="228"/>
      <c r="F10" s="228"/>
      <c r="G10" s="228"/>
      <c r="H10" s="228"/>
      <c r="I10" s="228"/>
      <c r="J10" s="228"/>
    </row>
    <row r="11" spans="2:17" ht="39.9" customHeight="1">
      <c r="B11" s="189"/>
      <c r="C11" s="271"/>
      <c r="J11" s="3"/>
    </row>
    <row r="12" spans="2:17" ht="39.9" customHeight="1">
      <c r="B12" s="24" t="s">
        <v>418</v>
      </c>
    </row>
    <row r="13" spans="2:17" ht="39.9" customHeight="1">
      <c r="B13" s="293" t="s">
        <v>7</v>
      </c>
      <c r="C13" s="293" t="s">
        <v>39</v>
      </c>
      <c r="D13" s="293" t="s">
        <v>419</v>
      </c>
      <c r="E13" s="294" t="s">
        <v>420</v>
      </c>
      <c r="F13" s="294" t="s">
        <v>429</v>
      </c>
      <c r="G13" s="293" t="s">
        <v>421</v>
      </c>
      <c r="H13" s="294" t="s">
        <v>431</v>
      </c>
      <c r="I13" s="293" t="s">
        <v>377</v>
      </c>
      <c r="J13" s="293" t="s">
        <v>378</v>
      </c>
      <c r="L13" s="293" t="s">
        <v>7</v>
      </c>
      <c r="M13" s="293" t="s">
        <v>39</v>
      </c>
      <c r="N13" s="293" t="s">
        <v>430</v>
      </c>
      <c r="O13" s="293" t="s">
        <v>435</v>
      </c>
      <c r="P13" s="293" t="s">
        <v>436</v>
      </c>
      <c r="Q13" s="293" t="s">
        <v>428</v>
      </c>
    </row>
    <row r="14" spans="2:17" ht="52.2">
      <c r="B14" s="289">
        <v>1</v>
      </c>
      <c r="C14" s="69" t="str">
        <f>C6</f>
        <v>新规划支路道路及管网建设工程</v>
      </c>
      <c r="D14" s="293">
        <v>2000</v>
      </c>
      <c r="E14" s="293">
        <f>D14*O14</f>
        <v>18000</v>
      </c>
      <c r="F14" s="293"/>
      <c r="G14" s="293">
        <f>D14*Q14</f>
        <v>32000</v>
      </c>
      <c r="H14" s="293">
        <v>664</v>
      </c>
      <c r="I14" s="293">
        <v>124</v>
      </c>
      <c r="J14" s="294" t="s">
        <v>432</v>
      </c>
      <c r="L14" s="389">
        <v>1</v>
      </c>
      <c r="M14" s="69" t="str">
        <f>C14</f>
        <v>新规划支路道路及管网建设工程</v>
      </c>
      <c r="N14" s="293">
        <v>30</v>
      </c>
      <c r="O14" s="293">
        <v>9</v>
      </c>
      <c r="P14" s="293"/>
      <c r="Q14" s="293">
        <v>16</v>
      </c>
    </row>
    <row r="15" spans="2:17" ht="52.2">
      <c r="B15" s="289">
        <v>2</v>
      </c>
      <c r="C15" s="69" t="str">
        <f t="shared" ref="C15:C17" si="1">C7</f>
        <v>新规划支二路道路及管网建设工程</v>
      </c>
      <c r="D15" s="293">
        <v>1300</v>
      </c>
      <c r="E15" s="293">
        <f>D15*O15</f>
        <v>11700</v>
      </c>
      <c r="F15" s="293"/>
      <c r="G15" s="293">
        <f>D15*Q15</f>
        <v>20800</v>
      </c>
      <c r="H15" s="293">
        <v>433</v>
      </c>
      <c r="I15" s="293">
        <v>80</v>
      </c>
      <c r="J15" s="294" t="s">
        <v>432</v>
      </c>
      <c r="L15" s="389">
        <v>2</v>
      </c>
      <c r="M15" s="69" t="str">
        <f t="shared" ref="M15:M17" si="2">C15</f>
        <v>新规划支二路道路及管网建设工程</v>
      </c>
      <c r="N15" s="293">
        <v>30</v>
      </c>
      <c r="O15" s="293">
        <v>9</v>
      </c>
      <c r="P15" s="293"/>
      <c r="Q15" s="293">
        <v>16</v>
      </c>
    </row>
    <row r="16" spans="2:17" ht="34.799999999999997">
      <c r="B16" s="289">
        <v>3</v>
      </c>
      <c r="C16" s="69" t="str">
        <f t="shared" si="1"/>
        <v>经九路（纬四路-纬九路）道路管网工程</v>
      </c>
      <c r="D16" s="293">
        <v>1400</v>
      </c>
      <c r="E16" s="293">
        <f>D16*O16</f>
        <v>32200</v>
      </c>
      <c r="F16" s="293">
        <f>D16*8.5</f>
        <v>11900</v>
      </c>
      <c r="G16" s="293"/>
      <c r="H16" s="293">
        <v>560</v>
      </c>
      <c r="I16" s="293">
        <v>70</v>
      </c>
      <c r="J16" s="294" t="s">
        <v>433</v>
      </c>
      <c r="L16" s="389">
        <v>3</v>
      </c>
      <c r="M16" s="69" t="str">
        <f t="shared" si="2"/>
        <v>经九路（纬四路-纬九路）道路管网工程</v>
      </c>
      <c r="N16" s="293">
        <v>40</v>
      </c>
      <c r="O16" s="293">
        <v>23</v>
      </c>
      <c r="P16" s="293">
        <v>17</v>
      </c>
      <c r="Q16" s="293"/>
    </row>
    <row r="17" spans="2:17" ht="52.2">
      <c r="B17" s="389">
        <v>4</v>
      </c>
      <c r="C17" s="69" t="str">
        <f t="shared" si="1"/>
        <v>纬九路（经七路-经九路）道路管网建设工程</v>
      </c>
      <c r="D17" s="293">
        <v>2102</v>
      </c>
      <c r="E17" s="293">
        <f>J8</f>
        <v>32200</v>
      </c>
      <c r="F17" s="293">
        <f>K9</f>
        <v>14714</v>
      </c>
      <c r="G17" s="293">
        <f>L9</f>
        <v>5628</v>
      </c>
      <c r="H17" s="293">
        <v>2554</v>
      </c>
      <c r="I17" s="293">
        <v>140</v>
      </c>
      <c r="J17" s="294" t="s">
        <v>526</v>
      </c>
      <c r="L17" s="389">
        <v>4</v>
      </c>
      <c r="M17" s="69" t="str">
        <f t="shared" si="2"/>
        <v>纬九路（经七路-经九路）道路管网建设工程</v>
      </c>
      <c r="N17" s="293">
        <v>30</v>
      </c>
      <c r="O17" s="293">
        <v>15</v>
      </c>
      <c r="P17" s="293">
        <v>15</v>
      </c>
      <c r="Q17" s="293"/>
    </row>
    <row r="18" spans="2:17" ht="39.9" customHeight="1">
      <c r="B18" s="526" t="s">
        <v>42</v>
      </c>
      <c r="C18" s="527"/>
      <c r="D18" s="293">
        <f>D14+D15+D16+D17</f>
        <v>6802</v>
      </c>
      <c r="E18" s="293">
        <f t="shared" ref="E18:I18" si="3">E14+E15+E16</f>
        <v>61900</v>
      </c>
      <c r="F18" s="293">
        <f t="shared" si="3"/>
        <v>11900</v>
      </c>
      <c r="G18" s="293">
        <f t="shared" si="3"/>
        <v>52800</v>
      </c>
      <c r="H18" s="293">
        <f t="shared" si="3"/>
        <v>1657</v>
      </c>
      <c r="I18" s="293">
        <f t="shared" si="3"/>
        <v>274</v>
      </c>
      <c r="J18" s="252"/>
    </row>
    <row r="19" spans="2:17" ht="39.9" customHeight="1">
      <c r="B19" s="24" t="s">
        <v>422</v>
      </c>
    </row>
    <row r="20" spans="2:17" ht="39.9" customHeight="1">
      <c r="B20" s="294" t="s">
        <v>7</v>
      </c>
      <c r="C20" s="294" t="s">
        <v>39</v>
      </c>
      <c r="D20" s="204" t="s">
        <v>312</v>
      </c>
      <c r="E20" s="204" t="s">
        <v>313</v>
      </c>
      <c r="F20" s="204" t="s">
        <v>314</v>
      </c>
      <c r="G20" s="204" t="s">
        <v>315</v>
      </c>
      <c r="H20" s="293" t="s">
        <v>423</v>
      </c>
      <c r="I20" s="293" t="s">
        <v>424</v>
      </c>
      <c r="J20" s="204" t="s">
        <v>378</v>
      </c>
    </row>
    <row r="21" spans="2:17" ht="39.9" customHeight="1">
      <c r="B21" s="294">
        <v>1</v>
      </c>
      <c r="C21" s="294" t="str">
        <f>C5</f>
        <v>化工产业板块雨水泵站及管网工程</v>
      </c>
      <c r="D21" s="293"/>
      <c r="E21" s="293">
        <v>1035</v>
      </c>
      <c r="F21" s="293"/>
      <c r="G21" s="293"/>
      <c r="H21" s="293">
        <v>20</v>
      </c>
      <c r="I21" s="293">
        <v>1</v>
      </c>
      <c r="J21" s="397" t="s">
        <v>425</v>
      </c>
    </row>
    <row r="22" spans="2:17" ht="39.9" customHeight="1">
      <c r="B22" s="294">
        <v>2</v>
      </c>
      <c r="C22" s="294" t="str">
        <f>C6</f>
        <v>新规划支路道路及管网建设工程</v>
      </c>
      <c r="D22" s="293">
        <v>2000</v>
      </c>
      <c r="E22" s="293">
        <v>2000</v>
      </c>
      <c r="F22" s="293">
        <v>2000</v>
      </c>
      <c r="G22" s="293">
        <v>2000</v>
      </c>
      <c r="H22" s="293"/>
      <c r="I22" s="293"/>
      <c r="J22" s="531" t="s">
        <v>427</v>
      </c>
    </row>
    <row r="23" spans="2:17" ht="62.1" customHeight="1">
      <c r="B23" s="294">
        <v>3</v>
      </c>
      <c r="C23" s="294" t="str">
        <f>C7</f>
        <v>新规划支二路道路及管网建设工程</v>
      </c>
      <c r="D23" s="293">
        <v>1300</v>
      </c>
      <c r="E23" s="293">
        <v>1300</v>
      </c>
      <c r="F23" s="293">
        <v>1300</v>
      </c>
      <c r="G23" s="293">
        <v>1300</v>
      </c>
      <c r="H23" s="293"/>
      <c r="I23" s="293"/>
      <c r="J23" s="531"/>
    </row>
    <row r="24" spans="2:17" ht="39.9" customHeight="1">
      <c r="B24" s="294">
        <v>4</v>
      </c>
      <c r="C24" s="294" t="str">
        <f>C8</f>
        <v>经九路（纬四路-纬九路）道路管网工程</v>
      </c>
      <c r="D24" s="293">
        <v>1400</v>
      </c>
      <c r="E24" s="293">
        <v>1400</v>
      </c>
      <c r="F24" s="293">
        <v>1400</v>
      </c>
      <c r="G24" s="293">
        <v>1400</v>
      </c>
      <c r="H24" s="293"/>
      <c r="I24" s="293"/>
      <c r="J24" s="531"/>
    </row>
    <row r="25" spans="2:17" ht="39.9" customHeight="1">
      <c r="B25" s="294">
        <v>5</v>
      </c>
      <c r="C25" s="294" t="str">
        <f>C9</f>
        <v>纬九路（经七路-经九路）道路管网建设工程</v>
      </c>
      <c r="D25" s="293">
        <v>2102</v>
      </c>
      <c r="E25" s="293">
        <v>2102</v>
      </c>
      <c r="F25" s="293">
        <v>2102</v>
      </c>
      <c r="G25" s="293">
        <v>2102</v>
      </c>
      <c r="H25" s="293"/>
      <c r="I25" s="293"/>
      <c r="J25" s="531"/>
    </row>
    <row r="26" spans="2:17" ht="39.9" customHeight="1">
      <c r="B26" s="528" t="s">
        <v>42</v>
      </c>
      <c r="C26" s="528"/>
      <c r="D26" s="293">
        <f>D21+D22+D23+D24+D25</f>
        <v>6802</v>
      </c>
      <c r="E26" s="293">
        <f t="shared" ref="E26:G26" si="4">E21+E22+E23+E24+E25</f>
        <v>7837</v>
      </c>
      <c r="F26" s="293">
        <f t="shared" si="4"/>
        <v>6802</v>
      </c>
      <c r="G26" s="293">
        <f t="shared" si="4"/>
        <v>6802</v>
      </c>
      <c r="H26" s="293">
        <f t="shared" ref="H26:I26" si="5">H21+H22+H23+H24+H25</f>
        <v>20</v>
      </c>
      <c r="I26" s="293">
        <f t="shared" si="5"/>
        <v>1</v>
      </c>
      <c r="J26" s="390"/>
    </row>
    <row r="27" spans="2:17" ht="39.9" customHeight="1"/>
    <row r="28" spans="2:17" ht="39.9" customHeight="1"/>
    <row r="30" spans="2:17" ht="22.2">
      <c r="B30" s="529" t="s">
        <v>471</v>
      </c>
      <c r="C30" s="530"/>
      <c r="D30" s="530"/>
      <c r="G30" s="323" t="s">
        <v>472</v>
      </c>
      <c r="H30" s="323" t="s">
        <v>479</v>
      </c>
      <c r="I30" s="323" t="s">
        <v>480</v>
      </c>
      <c r="J30" s="323" t="s">
        <v>481</v>
      </c>
      <c r="K30" s="323" t="s">
        <v>59</v>
      </c>
    </row>
    <row r="31" spans="2:17" ht="133.19999999999999">
      <c r="B31" s="322" t="s">
        <v>56</v>
      </c>
      <c r="C31" s="2" t="s">
        <v>472</v>
      </c>
      <c r="D31" s="322" t="s">
        <v>473</v>
      </c>
      <c r="G31" s="323" t="s">
        <v>482</v>
      </c>
      <c r="H31" s="324">
        <v>2100000</v>
      </c>
      <c r="I31" s="324">
        <v>1500415</v>
      </c>
      <c r="J31" s="324">
        <f>H31/I31</f>
        <v>1.399612773799249</v>
      </c>
      <c r="K31" s="323" t="s">
        <v>483</v>
      </c>
    </row>
    <row r="32" spans="2:17" ht="133.19999999999999">
      <c r="B32" s="322">
        <v>1</v>
      </c>
      <c r="C32" s="321" t="s">
        <v>474</v>
      </c>
      <c r="D32" s="7">
        <v>5</v>
      </c>
      <c r="G32" s="323" t="s">
        <v>484</v>
      </c>
      <c r="H32" s="324">
        <v>1833000</v>
      </c>
      <c r="I32" s="324">
        <v>470845</v>
      </c>
      <c r="J32" s="324">
        <f>H32/I32</f>
        <v>3.8930008813940895</v>
      </c>
      <c r="K32" s="323" t="s">
        <v>485</v>
      </c>
    </row>
    <row r="33" spans="2:11" ht="133.19999999999999">
      <c r="B33" s="322">
        <v>2</v>
      </c>
      <c r="C33" s="2" t="s">
        <v>475</v>
      </c>
      <c r="D33" s="7">
        <v>7.5</v>
      </c>
      <c r="G33" s="323" t="s">
        <v>486</v>
      </c>
      <c r="H33" s="324">
        <v>2687955.36</v>
      </c>
      <c r="I33" s="324">
        <v>600000</v>
      </c>
      <c r="J33" s="324">
        <f>H33/I33</f>
        <v>4.4799255999999996</v>
      </c>
      <c r="K33" s="323" t="s">
        <v>487</v>
      </c>
    </row>
    <row r="34" spans="2:11" ht="88.8">
      <c r="B34" s="322">
        <v>3</v>
      </c>
      <c r="C34" s="2" t="s">
        <v>476</v>
      </c>
      <c r="D34" s="7">
        <v>5</v>
      </c>
      <c r="G34" s="323" t="s">
        <v>488</v>
      </c>
      <c r="H34" s="324">
        <v>60650000</v>
      </c>
      <c r="I34" s="324">
        <v>3302740.78</v>
      </c>
      <c r="J34" s="324">
        <f>H34/I34/3</f>
        <v>6.1211787461765823</v>
      </c>
      <c r="K34" s="323" t="s">
        <v>489</v>
      </c>
    </row>
    <row r="35" spans="2:11" ht="111">
      <c r="B35" s="322">
        <v>4</v>
      </c>
      <c r="C35" s="2"/>
      <c r="D35" s="7"/>
      <c r="G35" s="323" t="s">
        <v>490</v>
      </c>
      <c r="H35" s="324">
        <v>95300000</v>
      </c>
      <c r="I35" s="324">
        <v>7939567.96</v>
      </c>
      <c r="J35" s="324">
        <f>H35/I35/3</f>
        <v>4.0010573404886713</v>
      </c>
      <c r="K35" s="323" t="s">
        <v>489</v>
      </c>
    </row>
    <row r="36" spans="2:11" ht="133.19999999999999">
      <c r="B36" s="322">
        <v>5</v>
      </c>
      <c r="C36" s="2"/>
      <c r="D36" s="7"/>
      <c r="G36" s="323" t="s">
        <v>491</v>
      </c>
      <c r="H36" s="324">
        <v>9797242.0399999991</v>
      </c>
      <c r="I36" s="324">
        <v>2400000</v>
      </c>
      <c r="J36" s="324">
        <f>H36/I36</f>
        <v>4.0821841833333332</v>
      </c>
      <c r="K36" s="323" t="s">
        <v>492</v>
      </c>
    </row>
    <row r="37" spans="2:11" ht="24.9" customHeight="1"/>
    <row r="38" spans="2:11" ht="24.9" customHeight="1">
      <c r="B38" s="525" t="s">
        <v>477</v>
      </c>
      <c r="C38" s="525"/>
      <c r="D38" s="525"/>
    </row>
    <row r="39" spans="2:11" ht="24.9" customHeight="1">
      <c r="B39" s="218" t="s">
        <v>56</v>
      </c>
      <c r="C39" s="211" t="s">
        <v>472</v>
      </c>
      <c r="D39" s="218" t="s">
        <v>473</v>
      </c>
    </row>
    <row r="40" spans="2:11" ht="24.9" customHeight="1">
      <c r="B40" s="218">
        <v>1</v>
      </c>
      <c r="C40" s="211" t="s">
        <v>476</v>
      </c>
      <c r="D40" s="364">
        <v>8</v>
      </c>
    </row>
    <row r="41" spans="2:11" ht="24.9" customHeight="1">
      <c r="B41" s="218">
        <v>2</v>
      </c>
      <c r="C41" s="211" t="s">
        <v>478</v>
      </c>
      <c r="D41" s="364">
        <v>7.92</v>
      </c>
    </row>
    <row r="42" spans="2:11" ht="24.9" customHeight="1">
      <c r="B42" s="218">
        <v>3</v>
      </c>
      <c r="C42" s="211" t="s">
        <v>474</v>
      </c>
      <c r="D42" s="364">
        <v>8</v>
      </c>
    </row>
    <row r="43" spans="2:11" ht="24.9" customHeight="1">
      <c r="B43" s="218">
        <v>4</v>
      </c>
      <c r="C43" s="211"/>
      <c r="D43" s="364"/>
    </row>
    <row r="44" spans="2:11" ht="24.9" customHeight="1">
      <c r="B44" s="218">
        <v>5</v>
      </c>
      <c r="C44" s="211"/>
      <c r="D44" s="364"/>
    </row>
    <row r="45" spans="2:11" ht="24.9" customHeight="1">
      <c r="B45" s="28"/>
      <c r="C45" s="28"/>
      <c r="D45" s="28"/>
    </row>
    <row r="46" spans="2:11" ht="24.9" customHeight="1">
      <c r="B46" s="525" t="s">
        <v>493</v>
      </c>
      <c r="C46" s="525"/>
      <c r="D46" s="525"/>
    </row>
    <row r="47" spans="2:11" ht="24.9" customHeight="1">
      <c r="B47" s="218" t="s">
        <v>56</v>
      </c>
      <c r="C47" s="211" t="s">
        <v>472</v>
      </c>
      <c r="D47" s="218" t="s">
        <v>473</v>
      </c>
    </row>
    <row r="48" spans="2:11" ht="24.9" customHeight="1">
      <c r="B48" s="218">
        <v>1</v>
      </c>
      <c r="C48" s="211" t="s">
        <v>494</v>
      </c>
      <c r="D48" s="364">
        <v>10</v>
      </c>
    </row>
    <row r="49" spans="2:4" ht="24.9" customHeight="1">
      <c r="B49" s="218">
        <v>2</v>
      </c>
      <c r="C49" s="211" t="s">
        <v>495</v>
      </c>
      <c r="D49" s="364">
        <v>25</v>
      </c>
    </row>
    <row r="50" spans="2:4" ht="24.9" customHeight="1">
      <c r="B50" s="218">
        <v>3</v>
      </c>
      <c r="C50" s="211" t="s">
        <v>474</v>
      </c>
      <c r="D50" s="364">
        <v>8</v>
      </c>
    </row>
    <row r="51" spans="2:4" ht="24.9" customHeight="1">
      <c r="B51" s="218">
        <v>4</v>
      </c>
      <c r="C51" s="211"/>
      <c r="D51" s="364"/>
    </row>
    <row r="52" spans="2:4" ht="24.9" customHeight="1">
      <c r="B52" s="218">
        <v>5</v>
      </c>
      <c r="C52" s="211"/>
      <c r="D52" s="364"/>
    </row>
    <row r="53" spans="2:4" ht="24.9" customHeight="1"/>
    <row r="54" spans="2:4" ht="24.9" customHeight="1"/>
    <row r="55" spans="2:4" ht="24.9" customHeight="1"/>
    <row r="56" spans="2:4" ht="24.9" customHeight="1"/>
    <row r="57" spans="2:4" ht="24.9" customHeight="1"/>
    <row r="58" spans="2:4" ht="39.9" customHeight="1"/>
    <row r="59" spans="2:4" ht="39.9" customHeight="1"/>
    <row r="60" spans="2:4" ht="39.9" customHeight="1"/>
    <row r="61" spans="2:4" ht="39.9" customHeight="1"/>
    <row r="62" spans="2:4" ht="39.9" customHeight="1"/>
    <row r="63" spans="2:4" ht="39.9" customHeight="1"/>
    <row r="64" spans="2:4" ht="39.9" customHeight="1"/>
    <row r="65" ht="39.9" customHeight="1"/>
    <row r="66" ht="39.9" customHeight="1"/>
    <row r="67" ht="39.9" customHeight="1"/>
    <row r="68" ht="39.9" customHeight="1"/>
    <row r="69" ht="39.9" customHeight="1"/>
    <row r="70" ht="39.9" customHeight="1"/>
    <row r="71" ht="39.9" customHeight="1"/>
    <row r="72" ht="39.9" customHeight="1"/>
    <row r="73" ht="39.9" customHeight="1"/>
    <row r="74" ht="39.9" customHeight="1"/>
    <row r="75" ht="39.9" customHeight="1"/>
    <row r="76" ht="39.9" customHeight="1"/>
    <row r="77" ht="39.9" customHeight="1"/>
    <row r="78" ht="39.9" customHeight="1"/>
    <row r="79" ht="39.9" customHeight="1"/>
    <row r="80" ht="39.9" customHeight="1"/>
    <row r="81" ht="39.9" customHeight="1"/>
    <row r="82" ht="39.9" customHeight="1"/>
    <row r="83" ht="39.9" customHeight="1"/>
    <row r="84" ht="39.9" customHeight="1"/>
    <row r="85" ht="39.9" customHeight="1"/>
    <row r="86" ht="39.9" customHeight="1"/>
    <row r="87" ht="39.9" customHeight="1"/>
    <row r="88" ht="39.9" customHeight="1"/>
    <row r="89" ht="39.9" customHeight="1"/>
    <row r="90" ht="39.9" customHeight="1"/>
    <row r="91" ht="39.9" customHeight="1"/>
    <row r="92" ht="39.9" customHeight="1"/>
    <row r="93" ht="39.9" customHeight="1"/>
    <row r="94" ht="39.9" customHeight="1"/>
    <row r="95" ht="39.9" customHeight="1"/>
    <row r="96" ht="39.9" customHeight="1"/>
    <row r="97" ht="39.9" customHeight="1"/>
    <row r="98" ht="39.9" customHeight="1"/>
    <row r="99" ht="39.9" customHeight="1"/>
    <row r="100" ht="39.9" customHeight="1"/>
    <row r="101" ht="39.9" customHeight="1"/>
    <row r="102" ht="39.9" customHeight="1"/>
    <row r="103" ht="39.9" customHeight="1"/>
    <row r="104" ht="39.9" customHeight="1"/>
    <row r="105" ht="39.9" customHeight="1"/>
    <row r="106" ht="39.9" customHeight="1"/>
    <row r="107" ht="39.9" customHeight="1"/>
    <row r="108" ht="39.9" customHeight="1"/>
    <row r="109" ht="39.9" customHeight="1"/>
    <row r="110" ht="39.9" customHeight="1"/>
    <row r="111" ht="39.9" customHeight="1"/>
    <row r="112" ht="39.9" customHeight="1"/>
    <row r="113" ht="39.9" customHeight="1"/>
    <row r="114" ht="39.9" customHeight="1"/>
    <row r="115" ht="39.9" customHeight="1"/>
    <row r="116" ht="39.9" customHeight="1"/>
    <row r="117" ht="39.9" customHeight="1"/>
    <row r="118" ht="39.9" customHeight="1"/>
    <row r="119" ht="39.9" customHeight="1"/>
    <row r="120" ht="39.9" customHeight="1"/>
    <row r="121" ht="39.9" customHeight="1"/>
    <row r="122" ht="39.9" customHeight="1"/>
    <row r="123" ht="39.9" customHeight="1"/>
    <row r="124" ht="39.9" customHeight="1"/>
    <row r="125" ht="39.9" customHeight="1"/>
    <row r="126" ht="39.9" customHeight="1"/>
    <row r="127" ht="39.9" customHeight="1"/>
    <row r="128" ht="39.9"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sheetData>
  <mergeCells count="8">
    <mergeCell ref="B38:D38"/>
    <mergeCell ref="B46:D46"/>
    <mergeCell ref="B18:C18"/>
    <mergeCell ref="B26:C26"/>
    <mergeCell ref="J3:O3"/>
    <mergeCell ref="D3:I3"/>
    <mergeCell ref="B30:D30"/>
    <mergeCell ref="J22:J25"/>
  </mergeCells>
  <phoneticPr fontId="3" type="noConversion"/>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38"/>
  <sheetViews>
    <sheetView workbookViewId="0">
      <selection activeCell="C4" sqref="C4"/>
    </sheetView>
  </sheetViews>
  <sheetFormatPr defaultColWidth="11" defaultRowHeight="15.6"/>
  <cols>
    <col min="1" max="2" width="11" style="458"/>
    <col min="3" max="3" width="45.36328125" style="458" customWidth="1"/>
    <col min="4" max="4" width="22.7265625" style="458" customWidth="1"/>
    <col min="5" max="7" width="20.6328125" style="458" customWidth="1"/>
    <col min="8" max="27" width="10.6328125" style="458" customWidth="1"/>
    <col min="28" max="30" width="11" style="458"/>
  </cols>
  <sheetData>
    <row r="1" spans="1:31">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22"/>
    </row>
    <row r="2" spans="1:31" ht="24.9" customHeight="1">
      <c r="A2" s="440"/>
      <c r="B2" s="513" t="s">
        <v>572</v>
      </c>
      <c r="C2" s="513"/>
      <c r="D2" s="513"/>
      <c r="E2" s="513"/>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22"/>
    </row>
    <row r="3" spans="1:31" ht="24.9" customHeight="1">
      <c r="A3" s="440"/>
      <c r="B3" s="435" t="s">
        <v>56</v>
      </c>
      <c r="C3" s="435" t="s">
        <v>97</v>
      </c>
      <c r="D3" s="437" t="s">
        <v>583</v>
      </c>
      <c r="E3" s="435" t="s">
        <v>98</v>
      </c>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22"/>
    </row>
    <row r="4" spans="1:31" ht="24.9" customHeight="1">
      <c r="A4" s="440"/>
      <c r="B4" s="435">
        <v>1</v>
      </c>
      <c r="C4" s="429"/>
      <c r="D4" s="426">
        <f>C4*365</f>
        <v>0</v>
      </c>
      <c r="E4" s="426">
        <f>D4*$E$26/10000</f>
        <v>0</v>
      </c>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22"/>
    </row>
    <row r="5" spans="1:31" ht="24.9" customHeight="1">
      <c r="A5" s="440"/>
      <c r="B5" s="532" t="s">
        <v>566</v>
      </c>
      <c r="C5" s="532"/>
      <c r="D5" s="532"/>
      <c r="E5" s="532"/>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22"/>
    </row>
    <row r="6" spans="1:31" ht="30" customHeight="1">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22"/>
    </row>
    <row r="7" spans="1:31" s="420" customFormat="1" ht="24.9" customHeight="1">
      <c r="A7" s="440"/>
      <c r="B7" s="513" t="s">
        <v>573</v>
      </c>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440"/>
      <c r="AC7" s="440"/>
      <c r="AD7" s="440"/>
      <c r="AE7" s="423"/>
    </row>
    <row r="8" spans="1:31" s="421" customFormat="1" ht="24.9" customHeight="1">
      <c r="A8" s="440"/>
      <c r="B8" s="511" t="s">
        <v>56</v>
      </c>
      <c r="C8" s="511" t="s">
        <v>100</v>
      </c>
      <c r="D8" s="511" t="s">
        <v>42</v>
      </c>
      <c r="E8" s="511" t="s">
        <v>75</v>
      </c>
      <c r="F8" s="511"/>
      <c r="G8" s="511"/>
      <c r="H8" s="511" t="s">
        <v>497</v>
      </c>
      <c r="I8" s="511"/>
      <c r="J8" s="511"/>
      <c r="K8" s="511"/>
      <c r="L8" s="511"/>
      <c r="M8" s="511"/>
      <c r="N8" s="511"/>
      <c r="O8" s="511"/>
      <c r="P8" s="511"/>
      <c r="Q8" s="511"/>
      <c r="R8" s="511"/>
      <c r="S8" s="511"/>
      <c r="T8" s="511"/>
      <c r="U8" s="511"/>
      <c r="V8" s="511"/>
      <c r="W8" s="511"/>
      <c r="X8" s="511"/>
      <c r="Y8" s="511"/>
      <c r="Z8" s="511"/>
      <c r="AA8" s="511"/>
      <c r="AB8" s="440"/>
      <c r="AC8" s="440"/>
      <c r="AD8" s="440"/>
      <c r="AE8" s="423"/>
    </row>
    <row r="9" spans="1:31" s="421" customFormat="1" ht="24.9" customHeight="1">
      <c r="A9" s="440"/>
      <c r="B9" s="511"/>
      <c r="C9" s="511"/>
      <c r="D9" s="511"/>
      <c r="E9" s="435">
        <v>1</v>
      </c>
      <c r="F9" s="435">
        <v>2</v>
      </c>
      <c r="G9" s="435">
        <v>3</v>
      </c>
      <c r="H9" s="435">
        <v>4</v>
      </c>
      <c r="I9" s="435">
        <v>5</v>
      </c>
      <c r="J9" s="435">
        <v>6</v>
      </c>
      <c r="K9" s="435">
        <v>7</v>
      </c>
      <c r="L9" s="435">
        <v>8</v>
      </c>
      <c r="M9" s="435">
        <v>9</v>
      </c>
      <c r="N9" s="435">
        <v>10</v>
      </c>
      <c r="O9" s="435">
        <v>11</v>
      </c>
      <c r="P9" s="435">
        <v>12</v>
      </c>
      <c r="Q9" s="435">
        <v>13</v>
      </c>
      <c r="R9" s="435">
        <v>14</v>
      </c>
      <c r="S9" s="435">
        <v>15</v>
      </c>
      <c r="T9" s="435">
        <v>16</v>
      </c>
      <c r="U9" s="435">
        <v>17</v>
      </c>
      <c r="V9" s="435">
        <v>18</v>
      </c>
      <c r="W9" s="435">
        <v>19</v>
      </c>
      <c r="X9" s="435">
        <v>20</v>
      </c>
      <c r="Y9" s="435">
        <v>21</v>
      </c>
      <c r="Z9" s="435">
        <v>22</v>
      </c>
      <c r="AA9" s="435">
        <v>23</v>
      </c>
      <c r="AB9" s="440"/>
      <c r="AC9" s="440"/>
      <c r="AD9" s="440"/>
      <c r="AE9" s="423"/>
    </row>
    <row r="10" spans="1:31" s="421" customFormat="1" ht="24.9" customHeight="1">
      <c r="A10" s="440"/>
      <c r="B10" s="435">
        <v>1</v>
      </c>
      <c r="C10" s="424" t="str">
        <f>C23</f>
        <v>双创园区标准化厂房（一期）项目</v>
      </c>
      <c r="D10" s="425">
        <f>SUM(E10:AA10)</f>
        <v>0</v>
      </c>
      <c r="E10" s="426"/>
      <c r="F10" s="426"/>
      <c r="G10" s="427"/>
      <c r="H10" s="426">
        <f>G23*D17</f>
        <v>0</v>
      </c>
      <c r="I10" s="426">
        <f>G23*E17</f>
        <v>0</v>
      </c>
      <c r="J10" s="426">
        <f>G23*F17</f>
        <v>0</v>
      </c>
      <c r="K10" s="426">
        <f>G23*(1+D18)</f>
        <v>0</v>
      </c>
      <c r="L10" s="426">
        <f t="shared" ref="L10:V10" si="0">K10</f>
        <v>0</v>
      </c>
      <c r="M10" s="426">
        <f t="shared" si="0"/>
        <v>0</v>
      </c>
      <c r="N10" s="426">
        <f>M10*(1+D18)</f>
        <v>0</v>
      </c>
      <c r="O10" s="426">
        <f t="shared" si="0"/>
        <v>0</v>
      </c>
      <c r="P10" s="426">
        <f t="shared" si="0"/>
        <v>0</v>
      </c>
      <c r="Q10" s="426">
        <f>P10*(1+D18)</f>
        <v>0</v>
      </c>
      <c r="R10" s="426">
        <f t="shared" si="0"/>
        <v>0</v>
      </c>
      <c r="S10" s="426">
        <f t="shared" si="0"/>
        <v>0</v>
      </c>
      <c r="T10" s="426">
        <f>S10*(1+D18)</f>
        <v>0</v>
      </c>
      <c r="U10" s="426">
        <f t="shared" si="0"/>
        <v>0</v>
      </c>
      <c r="V10" s="426">
        <f t="shared" si="0"/>
        <v>0</v>
      </c>
      <c r="W10" s="426">
        <f>V10*(1+D18)</f>
        <v>0</v>
      </c>
      <c r="X10" s="426">
        <f t="shared" ref="X10:X12" si="1">W10</f>
        <v>0</v>
      </c>
      <c r="Y10" s="426">
        <f t="shared" ref="Y10:Y12" si="2">X10</f>
        <v>0</v>
      </c>
      <c r="Z10" s="426">
        <f>Y10*(1+D18)</f>
        <v>0</v>
      </c>
      <c r="AA10" s="426">
        <f t="shared" ref="AA10:AA12" si="3">Z10</f>
        <v>0</v>
      </c>
      <c r="AB10" s="440"/>
      <c r="AC10" s="440"/>
      <c r="AD10" s="440"/>
      <c r="AE10" s="423"/>
    </row>
    <row r="11" spans="1:31" s="421" customFormat="1" ht="24.9" customHeight="1">
      <c r="A11" s="440"/>
      <c r="B11" s="435">
        <v>2</v>
      </c>
      <c r="C11" s="424" t="str">
        <f t="shared" ref="C11:C12" si="4">C24</f>
        <v>双创园区标准化厂房（二期）项目</v>
      </c>
      <c r="D11" s="425">
        <f t="shared" ref="D11:D13" si="5">SUM(E11:AA11)</f>
        <v>0</v>
      </c>
      <c r="E11" s="426"/>
      <c r="F11" s="426"/>
      <c r="G11" s="427"/>
      <c r="H11" s="426">
        <f>G24*D17</f>
        <v>0</v>
      </c>
      <c r="I11" s="426">
        <f>G24*E17</f>
        <v>0</v>
      </c>
      <c r="J11" s="426">
        <f>G24*F17</f>
        <v>0</v>
      </c>
      <c r="K11" s="426">
        <f>G24*(1+D18)</f>
        <v>0</v>
      </c>
      <c r="L11" s="426">
        <f t="shared" ref="L11:V11" si="6">K11</f>
        <v>0</v>
      </c>
      <c r="M11" s="426">
        <f t="shared" si="6"/>
        <v>0</v>
      </c>
      <c r="N11" s="426">
        <f>M11*(1+D18)</f>
        <v>0</v>
      </c>
      <c r="O11" s="426">
        <f t="shared" si="6"/>
        <v>0</v>
      </c>
      <c r="P11" s="426">
        <f t="shared" si="6"/>
        <v>0</v>
      </c>
      <c r="Q11" s="426">
        <f>P11*(1+D18)</f>
        <v>0</v>
      </c>
      <c r="R11" s="426">
        <f t="shared" si="6"/>
        <v>0</v>
      </c>
      <c r="S11" s="426">
        <f t="shared" si="6"/>
        <v>0</v>
      </c>
      <c r="T11" s="426">
        <f>S11*(1+D18)</f>
        <v>0</v>
      </c>
      <c r="U11" s="426">
        <f t="shared" si="6"/>
        <v>0</v>
      </c>
      <c r="V11" s="426">
        <f t="shared" si="6"/>
        <v>0</v>
      </c>
      <c r="W11" s="426">
        <f>V11*(1+D18)</f>
        <v>0</v>
      </c>
      <c r="X11" s="426">
        <f t="shared" si="1"/>
        <v>0</v>
      </c>
      <c r="Y11" s="426">
        <f t="shared" si="2"/>
        <v>0</v>
      </c>
      <c r="Z11" s="426">
        <f>Y11*(1+D18)</f>
        <v>0</v>
      </c>
      <c r="AA11" s="426">
        <f t="shared" si="3"/>
        <v>0</v>
      </c>
      <c r="AB11" s="440"/>
      <c r="AC11" s="440"/>
      <c r="AD11" s="440"/>
      <c r="AE11" s="423"/>
    </row>
    <row r="12" spans="1:31" s="421" customFormat="1" ht="24.9" customHeight="1">
      <c r="A12" s="440"/>
      <c r="B12" s="435">
        <v>3</v>
      </c>
      <c r="C12" s="424" t="str">
        <f t="shared" si="4"/>
        <v>危险品运输车辆停车场项目</v>
      </c>
      <c r="D12" s="425">
        <f t="shared" si="5"/>
        <v>26755.745982988465</v>
      </c>
      <c r="E12" s="426"/>
      <c r="F12" s="426"/>
      <c r="G12" s="427"/>
      <c r="H12" s="426">
        <f>'4停车场项目的运营成本及收入'!G7</f>
        <v>1158.96333</v>
      </c>
      <c r="I12" s="426">
        <f>H12</f>
        <v>1158.96333</v>
      </c>
      <c r="J12" s="426">
        <f>I12</f>
        <v>1158.96333</v>
      </c>
      <c r="K12" s="426">
        <f>J12*(1+D18)</f>
        <v>1216.9114965000001</v>
      </c>
      <c r="L12" s="426">
        <f t="shared" ref="L12:V12" si="7">K12</f>
        <v>1216.9114965000001</v>
      </c>
      <c r="M12" s="426">
        <f t="shared" si="7"/>
        <v>1216.9114965000001</v>
      </c>
      <c r="N12" s="426">
        <f>M12*(1+D18)</f>
        <v>1277.7570713250002</v>
      </c>
      <c r="O12" s="426">
        <f t="shared" si="7"/>
        <v>1277.7570713250002</v>
      </c>
      <c r="P12" s="426">
        <f t="shared" si="7"/>
        <v>1277.7570713250002</v>
      </c>
      <c r="Q12" s="426">
        <f>P12*(1+D18)</f>
        <v>1341.6449248912502</v>
      </c>
      <c r="R12" s="426">
        <f t="shared" si="7"/>
        <v>1341.6449248912502</v>
      </c>
      <c r="S12" s="426">
        <f t="shared" si="7"/>
        <v>1341.6449248912502</v>
      </c>
      <c r="T12" s="426">
        <f>S12*(1+D18)</f>
        <v>1408.7271711358128</v>
      </c>
      <c r="U12" s="426">
        <f t="shared" si="7"/>
        <v>1408.7271711358128</v>
      </c>
      <c r="V12" s="426">
        <f t="shared" si="7"/>
        <v>1408.7271711358128</v>
      </c>
      <c r="W12" s="426">
        <f>V12*(1+D18)</f>
        <v>1479.1635296926036</v>
      </c>
      <c r="X12" s="426">
        <f t="shared" si="1"/>
        <v>1479.1635296926036</v>
      </c>
      <c r="Y12" s="426">
        <f t="shared" si="2"/>
        <v>1479.1635296926036</v>
      </c>
      <c r="Z12" s="426">
        <f>Y12*(1+D18)</f>
        <v>1553.1217061772338</v>
      </c>
      <c r="AA12" s="426">
        <f t="shared" si="3"/>
        <v>1553.1217061772338</v>
      </c>
      <c r="AB12" s="440"/>
      <c r="AC12" s="440"/>
      <c r="AD12" s="440"/>
      <c r="AE12" s="423"/>
    </row>
    <row r="13" spans="1:31" s="421" customFormat="1" ht="24.9" customHeight="1">
      <c r="A13" s="440"/>
      <c r="B13" s="435">
        <v>4</v>
      </c>
      <c r="C13" s="424" t="s">
        <v>42</v>
      </c>
      <c r="D13" s="425">
        <f t="shared" si="5"/>
        <v>26755.745982988465</v>
      </c>
      <c r="E13" s="426"/>
      <c r="F13" s="426"/>
      <c r="G13" s="427"/>
      <c r="H13" s="426">
        <f>SUM(H10:H12)</f>
        <v>1158.96333</v>
      </c>
      <c r="I13" s="426">
        <f t="shared" ref="I13:V13" si="8">SUM(I10:I12)</f>
        <v>1158.96333</v>
      </c>
      <c r="J13" s="426">
        <f t="shared" si="8"/>
        <v>1158.96333</v>
      </c>
      <c r="K13" s="426">
        <f t="shared" si="8"/>
        <v>1216.9114965000001</v>
      </c>
      <c r="L13" s="426">
        <f t="shared" si="8"/>
        <v>1216.9114965000001</v>
      </c>
      <c r="M13" s="426">
        <f t="shared" si="8"/>
        <v>1216.9114965000001</v>
      </c>
      <c r="N13" s="426">
        <f t="shared" si="8"/>
        <v>1277.7570713250002</v>
      </c>
      <c r="O13" s="426">
        <f t="shared" si="8"/>
        <v>1277.7570713250002</v>
      </c>
      <c r="P13" s="426">
        <f t="shared" si="8"/>
        <v>1277.7570713250002</v>
      </c>
      <c r="Q13" s="426">
        <f t="shared" si="8"/>
        <v>1341.6449248912502</v>
      </c>
      <c r="R13" s="426">
        <f t="shared" si="8"/>
        <v>1341.6449248912502</v>
      </c>
      <c r="S13" s="426">
        <f t="shared" si="8"/>
        <v>1341.6449248912502</v>
      </c>
      <c r="T13" s="426">
        <f t="shared" si="8"/>
        <v>1408.7271711358128</v>
      </c>
      <c r="U13" s="426">
        <f t="shared" si="8"/>
        <v>1408.7271711358128</v>
      </c>
      <c r="V13" s="426">
        <f t="shared" si="8"/>
        <v>1408.7271711358128</v>
      </c>
      <c r="W13" s="426">
        <f t="shared" ref="W13:AA13" si="9">SUM(W10:W12)</f>
        <v>1479.1635296926036</v>
      </c>
      <c r="X13" s="426">
        <f t="shared" si="9"/>
        <v>1479.1635296926036</v>
      </c>
      <c r="Y13" s="426">
        <f t="shared" si="9"/>
        <v>1479.1635296926036</v>
      </c>
      <c r="Z13" s="426">
        <f t="shared" si="9"/>
        <v>1553.1217061772338</v>
      </c>
      <c r="AA13" s="426">
        <f t="shared" si="9"/>
        <v>1553.1217061772338</v>
      </c>
      <c r="AB13" s="440"/>
      <c r="AC13" s="440"/>
      <c r="AD13" s="440"/>
      <c r="AE13" s="423"/>
    </row>
    <row r="14" spans="1:31" s="28" customFormat="1" ht="24.9" customHeight="1">
      <c r="A14" s="440"/>
      <c r="B14" s="441"/>
      <c r="C14" s="442"/>
      <c r="D14" s="443"/>
      <c r="E14" s="444"/>
      <c r="F14" s="444"/>
      <c r="G14" s="445"/>
      <c r="H14" s="444"/>
      <c r="I14" s="444"/>
      <c r="J14" s="444"/>
      <c r="K14" s="444"/>
      <c r="L14" s="444"/>
      <c r="M14" s="444"/>
      <c r="N14" s="444"/>
      <c r="O14" s="444"/>
      <c r="P14" s="444"/>
      <c r="Q14" s="444"/>
      <c r="R14" s="444"/>
      <c r="S14" s="444"/>
      <c r="T14" s="444"/>
      <c r="U14" s="444"/>
      <c r="V14" s="444"/>
      <c r="W14" s="440"/>
      <c r="X14" s="440"/>
      <c r="Y14" s="440"/>
      <c r="Z14" s="440"/>
      <c r="AA14" s="440"/>
      <c r="AB14" s="440"/>
      <c r="AC14" s="440"/>
      <c r="AD14" s="440"/>
      <c r="AE14" s="422"/>
    </row>
    <row r="15" spans="1:31" ht="24.9" customHeight="1">
      <c r="A15" s="440"/>
      <c r="B15" s="440"/>
      <c r="C15" s="513" t="s">
        <v>415</v>
      </c>
      <c r="D15" s="513"/>
      <c r="E15" s="513"/>
      <c r="F15" s="513"/>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22"/>
    </row>
    <row r="16" spans="1:31" ht="24.9" customHeight="1">
      <c r="A16" s="440"/>
      <c r="B16" s="440"/>
      <c r="C16" s="435" t="s">
        <v>403</v>
      </c>
      <c r="D16" s="435" t="s">
        <v>40</v>
      </c>
      <c r="E16" s="435" t="s">
        <v>41</v>
      </c>
      <c r="F16" s="435" t="s">
        <v>405</v>
      </c>
      <c r="G16" s="440"/>
      <c r="H16" s="445"/>
      <c r="I16" s="440"/>
      <c r="J16" s="440"/>
      <c r="K16" s="440"/>
      <c r="L16" s="440"/>
      <c r="M16" s="440"/>
      <c r="N16" s="440"/>
      <c r="O16" s="440"/>
      <c r="P16" s="440"/>
      <c r="Q16" s="440"/>
      <c r="R16" s="440"/>
      <c r="S16" s="440"/>
      <c r="T16" s="440"/>
      <c r="U16" s="440"/>
      <c r="V16" s="440"/>
      <c r="W16" s="440"/>
      <c r="X16" s="440"/>
      <c r="Y16" s="440"/>
      <c r="Z16" s="440"/>
      <c r="AA16" s="440"/>
      <c r="AB16" s="440"/>
      <c r="AC16" s="440"/>
      <c r="AD16" s="440"/>
      <c r="AE16" s="422"/>
    </row>
    <row r="17" spans="1:31" ht="24.9" customHeight="1">
      <c r="A17" s="440"/>
      <c r="B17" s="440"/>
      <c r="C17" s="435" t="s">
        <v>404</v>
      </c>
      <c r="D17" s="446">
        <v>1</v>
      </c>
      <c r="E17" s="446">
        <v>1</v>
      </c>
      <c r="F17" s="446">
        <v>1</v>
      </c>
      <c r="G17" s="440"/>
      <c r="H17" s="445"/>
      <c r="I17" s="440"/>
      <c r="J17" s="440"/>
      <c r="K17" s="440"/>
      <c r="L17" s="440"/>
      <c r="M17" s="440"/>
      <c r="N17" s="440"/>
      <c r="O17" s="440"/>
      <c r="P17" s="440"/>
      <c r="Q17" s="440"/>
      <c r="R17" s="440"/>
      <c r="S17" s="440"/>
      <c r="T17" s="440"/>
      <c r="U17" s="440"/>
      <c r="V17" s="440"/>
      <c r="W17" s="440"/>
      <c r="X17" s="440"/>
      <c r="Y17" s="440"/>
      <c r="Z17" s="440"/>
      <c r="AA17" s="440"/>
      <c r="AB17" s="440"/>
      <c r="AC17" s="440"/>
      <c r="AD17" s="440"/>
      <c r="AE17" s="422"/>
    </row>
    <row r="18" spans="1:31" ht="24.9" customHeight="1">
      <c r="A18" s="440"/>
      <c r="B18" s="440"/>
      <c r="C18" s="435" t="s">
        <v>437</v>
      </c>
      <c r="D18" s="533">
        <v>0.05</v>
      </c>
      <c r="E18" s="533"/>
      <c r="F18" s="533"/>
      <c r="G18" s="440"/>
      <c r="H18" s="447"/>
      <c r="I18" s="440"/>
      <c r="J18" s="440"/>
      <c r="K18" s="440"/>
      <c r="L18" s="440"/>
      <c r="M18" s="448"/>
      <c r="N18" s="448"/>
      <c r="O18" s="448"/>
      <c r="P18" s="440"/>
      <c r="Q18" s="440"/>
      <c r="R18" s="440"/>
      <c r="S18" s="440"/>
      <c r="T18" s="440"/>
      <c r="U18" s="440"/>
      <c r="V18" s="440"/>
      <c r="W18" s="440"/>
      <c r="X18" s="440"/>
      <c r="Y18" s="440"/>
      <c r="Z18" s="440"/>
      <c r="AA18" s="440"/>
      <c r="AB18" s="440"/>
      <c r="AC18" s="440"/>
      <c r="AD18" s="440"/>
      <c r="AE18" s="422"/>
    </row>
    <row r="19" spans="1:31" ht="24.9" customHeight="1">
      <c r="A19" s="440"/>
      <c r="B19" s="440"/>
      <c r="C19" s="441"/>
      <c r="D19" s="449"/>
      <c r="E19" s="449"/>
      <c r="F19" s="449"/>
      <c r="G19" s="440"/>
      <c r="H19" s="447"/>
      <c r="I19" s="440"/>
      <c r="J19" s="440"/>
      <c r="K19" s="440"/>
      <c r="L19" s="440"/>
      <c r="M19" s="448"/>
      <c r="N19" s="448"/>
      <c r="O19" s="448"/>
      <c r="P19" s="440"/>
      <c r="Q19" s="440"/>
      <c r="R19" s="440"/>
      <c r="S19" s="440"/>
      <c r="T19" s="440"/>
      <c r="U19" s="440"/>
      <c r="V19" s="440"/>
      <c r="W19" s="440"/>
      <c r="X19" s="440"/>
      <c r="Y19" s="440"/>
      <c r="Z19" s="440"/>
      <c r="AA19" s="440"/>
      <c r="AB19" s="440"/>
      <c r="AC19" s="440"/>
      <c r="AD19" s="440"/>
      <c r="AE19" s="422"/>
    </row>
    <row r="20" spans="1:31" ht="24.9" customHeight="1">
      <c r="A20" s="450"/>
      <c r="B20" s="450"/>
      <c r="C20" s="441"/>
      <c r="D20" s="441"/>
      <c r="E20" s="440"/>
      <c r="F20" s="451"/>
      <c r="G20" s="451"/>
      <c r="H20" s="447"/>
      <c r="I20" s="440"/>
      <c r="J20" s="440"/>
      <c r="K20" s="440"/>
      <c r="L20" s="440"/>
      <c r="M20" s="448"/>
      <c r="N20" s="448"/>
      <c r="O20" s="448"/>
      <c r="P20" s="440"/>
      <c r="Q20" s="440"/>
      <c r="R20" s="440"/>
      <c r="S20" s="440"/>
      <c r="T20" s="440"/>
      <c r="U20" s="440"/>
      <c r="V20" s="440"/>
      <c r="W20" s="440"/>
      <c r="X20" s="440"/>
      <c r="Y20" s="440"/>
      <c r="Z20" s="440"/>
      <c r="AA20" s="440"/>
      <c r="AB20" s="440"/>
      <c r="AC20" s="440"/>
      <c r="AD20" s="440"/>
      <c r="AE20" s="422"/>
    </row>
    <row r="21" spans="1:31" ht="24.9" customHeight="1">
      <c r="A21" s="440"/>
      <c r="B21" s="513" t="s">
        <v>567</v>
      </c>
      <c r="C21" s="513"/>
      <c r="D21" s="513"/>
      <c r="E21" s="513"/>
      <c r="F21" s="513"/>
      <c r="G21" s="513"/>
      <c r="H21" s="447"/>
      <c r="I21" s="440"/>
      <c r="J21" s="440"/>
      <c r="K21" s="440"/>
      <c r="L21" s="440"/>
      <c r="M21" s="448"/>
      <c r="N21" s="448"/>
      <c r="O21" s="448"/>
      <c r="P21" s="440">
        <v>0.85</v>
      </c>
      <c r="Q21" s="440">
        <f>P21/20</f>
        <v>4.2499999999999996E-2</v>
      </c>
      <c r="R21" s="440"/>
      <c r="S21" s="440"/>
      <c r="T21" s="440"/>
      <c r="U21" s="440"/>
      <c r="V21" s="440"/>
      <c r="W21" s="440"/>
      <c r="X21" s="440"/>
      <c r="Y21" s="440"/>
      <c r="Z21" s="440"/>
      <c r="AA21" s="440"/>
      <c r="AB21" s="440"/>
      <c r="AC21" s="440"/>
      <c r="AD21" s="440"/>
      <c r="AE21" s="422"/>
    </row>
    <row r="22" spans="1:31" ht="24.9" customHeight="1">
      <c r="A22" s="440"/>
      <c r="B22" s="452" t="s">
        <v>0</v>
      </c>
      <c r="C22" s="452" t="s">
        <v>1</v>
      </c>
      <c r="D22" s="452" t="s">
        <v>96</v>
      </c>
      <c r="E22" s="452" t="s">
        <v>584</v>
      </c>
      <c r="F22" s="452" t="s">
        <v>417</v>
      </c>
      <c r="G22" s="453" t="s">
        <v>416</v>
      </c>
      <c r="H22" s="448"/>
      <c r="I22" s="440"/>
      <c r="J22" s="440"/>
      <c r="K22" s="440"/>
      <c r="L22" s="440"/>
      <c r="M22" s="440"/>
      <c r="N22" s="448"/>
      <c r="O22" s="440"/>
      <c r="P22" s="440"/>
      <c r="Q22" s="440"/>
      <c r="R22" s="440"/>
      <c r="S22" s="440"/>
      <c r="T22" s="440"/>
      <c r="U22" s="440"/>
      <c r="V22" s="440"/>
      <c r="W22" s="440"/>
      <c r="X22" s="440"/>
      <c r="Y22" s="440"/>
      <c r="Z22" s="440"/>
      <c r="AA22" s="440"/>
      <c r="AB22" s="440"/>
      <c r="AC22" s="440"/>
      <c r="AD22" s="440"/>
      <c r="AE22" s="422"/>
    </row>
    <row r="23" spans="1:31" ht="24.9" customHeight="1">
      <c r="A23" s="440"/>
      <c r="B23" s="437">
        <v>1</v>
      </c>
      <c r="C23" s="454" t="str">
        <f>可研资料整理!C9</f>
        <v>双创园区标准化厂房（一期）项目</v>
      </c>
      <c r="D23" s="426">
        <f ca="1">可研资料整理!K9</f>
        <v>12643.364361167001</v>
      </c>
      <c r="E23" s="437">
        <v>50000</v>
      </c>
      <c r="F23" s="426">
        <f ca="1">D23/20</f>
        <v>632.16821805835002</v>
      </c>
      <c r="G23" s="435">
        <f>D4*E23/10000</f>
        <v>0</v>
      </c>
      <c r="H23" s="448"/>
      <c r="I23" s="440"/>
      <c r="J23" s="440"/>
      <c r="K23" s="440"/>
      <c r="L23" s="440"/>
      <c r="M23" s="440"/>
      <c r="N23" s="440"/>
      <c r="O23" s="440"/>
      <c r="P23" s="440"/>
      <c r="Q23" s="440"/>
      <c r="R23" s="440"/>
      <c r="S23" s="440"/>
      <c r="T23" s="440"/>
      <c r="U23" s="440"/>
      <c r="V23" s="440"/>
      <c r="W23" s="440"/>
      <c r="X23" s="440"/>
      <c r="Y23" s="440"/>
      <c r="Z23" s="440"/>
      <c r="AA23" s="440"/>
      <c r="AB23" s="440"/>
      <c r="AC23" s="440"/>
      <c r="AD23" s="440"/>
      <c r="AE23" s="422"/>
    </row>
    <row r="24" spans="1:31" ht="24.9" customHeight="1">
      <c r="A24" s="440"/>
      <c r="B24" s="437">
        <v>2</v>
      </c>
      <c r="C24" s="454" t="str">
        <f>可研资料整理!C10</f>
        <v>双创园区标准化厂房（二期）项目</v>
      </c>
      <c r="D24" s="426">
        <f ca="1">可研资料整理!K10</f>
        <v>17608.187399396378</v>
      </c>
      <c r="E24" s="437">
        <v>70000</v>
      </c>
      <c r="F24" s="426">
        <f t="shared" ref="F24:F25" ca="1" si="10">D24/20</f>
        <v>880.40936996981895</v>
      </c>
      <c r="G24" s="435">
        <f>D4*E24/10000</f>
        <v>0</v>
      </c>
      <c r="H24" s="448"/>
      <c r="I24" s="440"/>
      <c r="J24" s="440"/>
      <c r="K24" s="440"/>
      <c r="L24" s="440"/>
      <c r="M24" s="440"/>
      <c r="N24" s="440"/>
      <c r="O24" s="440"/>
      <c r="P24" s="440"/>
      <c r="Q24" s="440"/>
      <c r="R24" s="440"/>
      <c r="S24" s="440"/>
      <c r="T24" s="440"/>
      <c r="U24" s="440"/>
      <c r="V24" s="440"/>
      <c r="W24" s="440"/>
      <c r="X24" s="440"/>
      <c r="Y24" s="440"/>
      <c r="Z24" s="440"/>
      <c r="AA24" s="440"/>
      <c r="AB24" s="440"/>
      <c r="AC24" s="440"/>
      <c r="AD24" s="440"/>
      <c r="AE24" s="422"/>
    </row>
    <row r="25" spans="1:31" ht="24.9" customHeight="1">
      <c r="A25" s="440"/>
      <c r="B25" s="437">
        <v>3</v>
      </c>
      <c r="C25" s="454" t="str">
        <f>可研资料整理!C11</f>
        <v>危险品运输车辆停车场项目</v>
      </c>
      <c r="D25" s="426">
        <f ca="1">可研资料整理!K11</f>
        <v>4772.9092681086513</v>
      </c>
      <c r="E25" s="437"/>
      <c r="F25" s="426">
        <f t="shared" ca="1" si="10"/>
        <v>238.64546340543257</v>
      </c>
      <c r="G25" s="435">
        <f>D4*E25/10000</f>
        <v>0</v>
      </c>
      <c r="H25" s="448"/>
      <c r="I25" s="440"/>
      <c r="J25" s="440"/>
      <c r="K25" s="440"/>
      <c r="L25" s="440"/>
      <c r="M25" s="440"/>
      <c r="N25" s="440"/>
      <c r="O25" s="440"/>
      <c r="P25" s="440"/>
      <c r="Q25" s="440"/>
      <c r="R25" s="440"/>
      <c r="S25" s="440"/>
      <c r="T25" s="440"/>
      <c r="U25" s="440"/>
      <c r="V25" s="440"/>
      <c r="W25" s="440"/>
      <c r="X25" s="440"/>
      <c r="Y25" s="440"/>
      <c r="Z25" s="440"/>
      <c r="AA25" s="440"/>
      <c r="AB25" s="440"/>
      <c r="AC25" s="440"/>
      <c r="AD25" s="440"/>
      <c r="AE25" s="422"/>
    </row>
    <row r="26" spans="1:31" ht="24.9" customHeight="1">
      <c r="A26" s="440"/>
      <c r="B26" s="511" t="s">
        <v>85</v>
      </c>
      <c r="C26" s="511"/>
      <c r="D26" s="426">
        <f ca="1">SUM(D23:D25)</f>
        <v>35024.461028672027</v>
      </c>
      <c r="E26" s="455">
        <f>SUM(E23:E25)</f>
        <v>120000</v>
      </c>
      <c r="F26" s="455">
        <f ca="1">SUM(F23:F25)</f>
        <v>1751.2230514336015</v>
      </c>
      <c r="G26" s="455">
        <f>SUM(G23:G25)</f>
        <v>0</v>
      </c>
      <c r="H26" s="448"/>
      <c r="I26" s="440"/>
      <c r="J26" s="440"/>
      <c r="K26" s="440"/>
      <c r="L26" s="440"/>
      <c r="M26" s="440"/>
      <c r="N26" s="440"/>
      <c r="O26" s="440"/>
      <c r="P26" s="440"/>
      <c r="Q26" s="440"/>
      <c r="R26" s="440"/>
      <c r="S26" s="440"/>
      <c r="T26" s="440"/>
      <c r="U26" s="440"/>
      <c r="V26" s="440"/>
      <c r="W26" s="440"/>
      <c r="X26" s="440"/>
      <c r="Y26" s="440"/>
      <c r="Z26" s="440"/>
      <c r="AA26" s="440"/>
      <c r="AB26" s="440"/>
      <c r="AC26" s="440"/>
      <c r="AD26" s="440"/>
      <c r="AE26" s="422"/>
    </row>
    <row r="27" spans="1:31" ht="24.9" customHeight="1">
      <c r="A27" s="440"/>
      <c r="B27" s="441"/>
      <c r="C27" s="441"/>
      <c r="D27" s="444"/>
      <c r="E27" s="444"/>
      <c r="F27" s="444"/>
      <c r="G27" s="447"/>
      <c r="H27" s="448"/>
      <c r="I27" s="440"/>
      <c r="J27" s="440"/>
      <c r="K27" s="440"/>
      <c r="L27" s="440"/>
      <c r="M27" s="440"/>
      <c r="N27" s="440"/>
      <c r="O27" s="440"/>
      <c r="P27" s="440"/>
      <c r="Q27" s="440"/>
      <c r="R27" s="440"/>
      <c r="S27" s="440"/>
      <c r="T27" s="440"/>
      <c r="U27" s="440"/>
      <c r="V27" s="440"/>
      <c r="W27" s="440"/>
      <c r="X27" s="440"/>
      <c r="Y27" s="440"/>
      <c r="Z27" s="440"/>
      <c r="AA27" s="440"/>
      <c r="AB27" s="440"/>
      <c r="AC27" s="440"/>
      <c r="AD27" s="440"/>
      <c r="AE27" s="422"/>
    </row>
    <row r="28" spans="1:31" ht="24.9" customHeight="1">
      <c r="A28" s="440"/>
      <c r="B28" s="513" t="s">
        <v>574</v>
      </c>
      <c r="C28" s="513"/>
      <c r="D28" s="513"/>
      <c r="E28" s="440"/>
      <c r="F28" s="448"/>
      <c r="G28" s="448"/>
      <c r="H28" s="448"/>
      <c r="I28" s="440"/>
      <c r="J28" s="440"/>
      <c r="K28" s="445"/>
      <c r="L28" s="445"/>
      <c r="M28" s="445"/>
      <c r="N28" s="445"/>
      <c r="O28" s="445"/>
      <c r="P28" s="445"/>
      <c r="Q28" s="440"/>
      <c r="R28" s="440"/>
      <c r="S28" s="440"/>
      <c r="T28" s="440"/>
      <c r="U28" s="440"/>
      <c r="V28" s="440"/>
      <c r="W28" s="440"/>
      <c r="X28" s="440"/>
      <c r="Y28" s="440"/>
      <c r="Z28" s="440"/>
      <c r="AA28" s="440"/>
      <c r="AB28" s="440"/>
      <c r="AC28" s="440"/>
      <c r="AD28" s="440"/>
      <c r="AE28" s="422"/>
    </row>
    <row r="29" spans="1:31" ht="24.9" customHeight="1">
      <c r="A29" s="440"/>
      <c r="B29" s="452" t="s">
        <v>0</v>
      </c>
      <c r="C29" s="452" t="s">
        <v>1</v>
      </c>
      <c r="D29" s="452" t="s">
        <v>414</v>
      </c>
      <c r="E29" s="440"/>
      <c r="F29" s="440"/>
      <c r="G29" s="448"/>
      <c r="H29" s="448"/>
      <c r="I29" s="440"/>
      <c r="J29" s="440"/>
      <c r="K29" s="445"/>
      <c r="L29" s="441"/>
      <c r="M29" s="441"/>
      <c r="N29" s="441"/>
      <c r="O29" s="450"/>
      <c r="P29" s="445"/>
      <c r="Q29" s="440"/>
      <c r="R29" s="440"/>
      <c r="S29" s="440"/>
      <c r="T29" s="440"/>
      <c r="U29" s="440"/>
      <c r="V29" s="440"/>
      <c r="W29" s="440"/>
      <c r="X29" s="440"/>
      <c r="Y29" s="440"/>
      <c r="Z29" s="440"/>
      <c r="AA29" s="440"/>
      <c r="AB29" s="440"/>
      <c r="AC29" s="440"/>
      <c r="AD29" s="440"/>
      <c r="AE29" s="422"/>
    </row>
    <row r="30" spans="1:31" ht="24.9" customHeight="1">
      <c r="A30" s="440"/>
      <c r="B30" s="437">
        <v>1</v>
      </c>
      <c r="C30" s="435" t="str">
        <f>C23</f>
        <v>双创园区标准化厂房（一期）项目</v>
      </c>
      <c r="D30" s="435">
        <f>E23</f>
        <v>50000</v>
      </c>
      <c r="E30" s="440"/>
      <c r="F30" s="440"/>
      <c r="G30" s="448"/>
      <c r="H30" s="448"/>
      <c r="I30" s="440"/>
      <c r="J30" s="440"/>
      <c r="K30" s="445"/>
      <c r="L30" s="441"/>
      <c r="M30" s="450"/>
      <c r="N30" s="441"/>
      <c r="O30" s="444"/>
      <c r="P30" s="445"/>
      <c r="Q30" s="440"/>
      <c r="R30" s="440"/>
      <c r="S30" s="440"/>
      <c r="T30" s="440"/>
      <c r="U30" s="440"/>
      <c r="V30" s="440"/>
      <c r="W30" s="440"/>
      <c r="X30" s="440"/>
      <c r="Y30" s="440"/>
      <c r="Z30" s="440"/>
      <c r="AA30" s="440"/>
      <c r="AB30" s="440"/>
      <c r="AC30" s="440"/>
      <c r="AD30" s="440"/>
      <c r="AE30" s="422"/>
    </row>
    <row r="31" spans="1:31" ht="24.9" customHeight="1">
      <c r="A31" s="440"/>
      <c r="B31" s="437">
        <v>2</v>
      </c>
      <c r="C31" s="435" t="str">
        <f>C24</f>
        <v>双创园区标准化厂房（二期）项目</v>
      </c>
      <c r="D31" s="435">
        <f>E24</f>
        <v>70000</v>
      </c>
      <c r="E31" s="440"/>
      <c r="F31" s="440"/>
      <c r="G31" s="448"/>
      <c r="H31" s="448"/>
      <c r="I31" s="440"/>
      <c r="J31" s="440"/>
      <c r="K31" s="445"/>
      <c r="L31" s="441"/>
      <c r="M31" s="456"/>
      <c r="N31" s="444"/>
      <c r="O31" s="444"/>
      <c r="P31" s="445"/>
      <c r="Q31" s="440"/>
      <c r="R31" s="440"/>
      <c r="S31" s="440"/>
      <c r="T31" s="440"/>
      <c r="U31" s="440"/>
      <c r="V31" s="440"/>
      <c r="W31" s="440"/>
      <c r="X31" s="440"/>
      <c r="Y31" s="440"/>
      <c r="Z31" s="440"/>
      <c r="AA31" s="440"/>
      <c r="AB31" s="440"/>
      <c r="AC31" s="440"/>
      <c r="AD31" s="440"/>
      <c r="AE31" s="422"/>
    </row>
    <row r="32" spans="1:31" ht="24.9" customHeight="1">
      <c r="A32" s="440"/>
      <c r="B32" s="437">
        <v>3</v>
      </c>
      <c r="C32" s="435" t="str">
        <f>C25</f>
        <v>危险品运输车辆停车场项目</v>
      </c>
      <c r="D32" s="435"/>
      <c r="E32" s="440"/>
      <c r="F32" s="440"/>
      <c r="G32" s="448"/>
      <c r="H32" s="448"/>
      <c r="I32" s="440"/>
      <c r="J32" s="440"/>
      <c r="K32" s="445"/>
      <c r="L32" s="441"/>
      <c r="M32" s="450"/>
      <c r="N32" s="444"/>
      <c r="O32" s="444"/>
      <c r="P32" s="445"/>
      <c r="Q32" s="440"/>
      <c r="R32" s="440"/>
      <c r="S32" s="440"/>
      <c r="T32" s="440"/>
      <c r="U32" s="440"/>
      <c r="V32" s="440"/>
      <c r="W32" s="440"/>
      <c r="X32" s="440"/>
      <c r="Y32" s="440"/>
      <c r="Z32" s="440"/>
      <c r="AA32" s="440"/>
      <c r="AB32" s="440"/>
      <c r="AC32" s="440"/>
      <c r="AD32" s="440"/>
      <c r="AE32" s="422"/>
    </row>
    <row r="33" spans="1:31" ht="24.9" customHeight="1">
      <c r="A33" s="440"/>
      <c r="B33" s="440"/>
      <c r="C33" s="440"/>
      <c r="D33" s="440"/>
      <c r="E33" s="440"/>
      <c r="F33" s="440"/>
      <c r="G33" s="448"/>
      <c r="H33" s="448"/>
      <c r="I33" s="448"/>
      <c r="J33" s="448"/>
      <c r="K33" s="445"/>
      <c r="L33" s="441"/>
      <c r="M33" s="450"/>
      <c r="N33" s="444"/>
      <c r="O33" s="444"/>
      <c r="P33" s="445"/>
      <c r="Q33" s="440"/>
      <c r="R33" s="440"/>
      <c r="S33" s="440"/>
      <c r="T33" s="440"/>
      <c r="U33" s="440"/>
      <c r="V33" s="440"/>
      <c r="W33" s="440"/>
      <c r="X33" s="440"/>
      <c r="Y33" s="440"/>
      <c r="Z33" s="440"/>
      <c r="AA33" s="440"/>
      <c r="AB33" s="440"/>
      <c r="AC33" s="440"/>
      <c r="AD33" s="440"/>
      <c r="AE33" s="422"/>
    </row>
    <row r="34" spans="1:31" ht="30" customHeight="1">
      <c r="A34" s="440"/>
      <c r="B34" s="440"/>
      <c r="C34" s="440"/>
      <c r="D34" s="440"/>
      <c r="E34" s="440"/>
      <c r="F34" s="457"/>
      <c r="G34" s="440"/>
      <c r="H34" s="440"/>
      <c r="I34" s="440"/>
      <c r="J34" s="440"/>
      <c r="K34" s="445"/>
      <c r="L34" s="445"/>
      <c r="M34" s="445"/>
      <c r="N34" s="445"/>
      <c r="O34" s="445"/>
      <c r="P34" s="445"/>
      <c r="Q34" s="440"/>
      <c r="R34" s="440"/>
      <c r="S34" s="440"/>
      <c r="T34" s="440"/>
      <c r="U34" s="440"/>
      <c r="V34" s="440"/>
      <c r="W34" s="440"/>
      <c r="X34" s="440"/>
      <c r="Y34" s="440"/>
      <c r="Z34" s="440"/>
      <c r="AA34" s="440"/>
      <c r="AB34" s="440"/>
      <c r="AC34" s="440"/>
      <c r="AD34" s="440"/>
      <c r="AE34" s="422"/>
    </row>
    <row r="35" spans="1:31" ht="30" customHeight="1">
      <c r="A35" s="440"/>
      <c r="B35" s="440"/>
      <c r="C35" s="440"/>
      <c r="D35" s="440"/>
      <c r="E35" s="440"/>
      <c r="F35" s="457"/>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22"/>
    </row>
    <row r="36" spans="1:31" ht="30" customHeight="1">
      <c r="F36" s="459"/>
    </row>
    <row r="37" spans="1:31" ht="30" customHeight="1">
      <c r="F37" s="459"/>
    </row>
    <row r="38" spans="1:31">
      <c r="F38" s="459"/>
    </row>
  </sheetData>
  <sheetProtection algorithmName="SHA-512" hashValue="TiNolbz/Q8+GrVTZdsChOyDkTRCAB5Vlzq89t54NUVh7HhKWSqcC0YKYeDhsGS5WL7ZGtogYGE9p3ybCkXGYuA==" saltValue="kaGl6jCz1PMrG27dCpmVJA==" spinCount="100000" sheet="1" objects="1" scenarios="1"/>
  <mergeCells count="13">
    <mergeCell ref="B2:E2"/>
    <mergeCell ref="B7:AA7"/>
    <mergeCell ref="B21:G21"/>
    <mergeCell ref="B28:D28"/>
    <mergeCell ref="B5:E5"/>
    <mergeCell ref="H8:AA8"/>
    <mergeCell ref="B8:B9"/>
    <mergeCell ref="C8:C9"/>
    <mergeCell ref="D8:D9"/>
    <mergeCell ref="B26:C26"/>
    <mergeCell ref="D18:F18"/>
    <mergeCell ref="E8:G8"/>
    <mergeCell ref="C15:F15"/>
  </mergeCells>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I15"/>
  <sheetViews>
    <sheetView tabSelected="1" workbookViewId="0">
      <selection activeCell="F17" sqref="F17"/>
    </sheetView>
  </sheetViews>
  <sheetFormatPr defaultColWidth="11" defaultRowHeight="15.6"/>
  <cols>
    <col min="2" max="2" width="11" style="458"/>
    <col min="3" max="3" width="22.36328125" style="458" customWidth="1"/>
    <col min="4" max="4" width="19.6328125" style="458" customWidth="1"/>
    <col min="5" max="6" width="18.7265625" style="458" customWidth="1"/>
    <col min="7" max="7" width="16.7265625" style="458" customWidth="1"/>
    <col min="8" max="9" width="11" style="458"/>
  </cols>
  <sheetData>
    <row r="4" spans="2:7">
      <c r="B4" s="440"/>
      <c r="C4" s="541"/>
      <c r="D4" s="541"/>
      <c r="E4" s="541"/>
      <c r="F4" s="541"/>
      <c r="G4" s="541"/>
    </row>
    <row r="5" spans="2:7" ht="24.9" customHeight="1">
      <c r="B5" s="440"/>
      <c r="C5" s="534" t="s">
        <v>576</v>
      </c>
      <c r="D5" s="535"/>
      <c r="E5" s="535"/>
      <c r="F5" s="535"/>
      <c r="G5" s="536"/>
    </row>
    <row r="6" spans="2:7" ht="24.9" customHeight="1">
      <c r="B6" s="440"/>
      <c r="C6" s="435" t="s">
        <v>532</v>
      </c>
      <c r="D6" s="435" t="s">
        <v>528</v>
      </c>
      <c r="E6" s="435" t="s">
        <v>529</v>
      </c>
      <c r="F6" s="435" t="s">
        <v>531</v>
      </c>
      <c r="G6" s="435" t="s">
        <v>530</v>
      </c>
    </row>
    <row r="7" spans="2:7" ht="24.9" customHeight="1">
      <c r="B7" s="440"/>
      <c r="C7" s="426">
        <f>D7*E7/10000</f>
        <v>5.0369999999999999</v>
      </c>
      <c r="D7" s="426">
        <v>138</v>
      </c>
      <c r="E7" s="426">
        <v>365</v>
      </c>
      <c r="F7" s="460">
        <v>230.09</v>
      </c>
      <c r="G7" s="426">
        <f>F7*C7</f>
        <v>1158.96333</v>
      </c>
    </row>
    <row r="8" spans="2:7" ht="24.9" hidden="1" customHeight="1">
      <c r="B8" s="440"/>
      <c r="C8" s="532" t="s">
        <v>587</v>
      </c>
      <c r="D8" s="532"/>
      <c r="E8" s="532"/>
      <c r="F8" s="532"/>
      <c r="G8" s="532"/>
    </row>
    <row r="9" spans="2:7" ht="24.9" customHeight="1">
      <c r="B9" s="440"/>
      <c r="C9" s="440"/>
      <c r="D9" s="440"/>
      <c r="E9" s="440"/>
      <c r="F9" s="440"/>
      <c r="G9" s="440"/>
    </row>
    <row r="10" spans="2:7" ht="24.9" customHeight="1">
      <c r="B10" s="440"/>
      <c r="C10" s="513" t="s">
        <v>575</v>
      </c>
      <c r="D10" s="513"/>
      <c r="E10" s="513"/>
      <c r="F10" s="461"/>
      <c r="G10" s="440"/>
    </row>
    <row r="11" spans="2:7" ht="24.9" customHeight="1">
      <c r="B11" s="440"/>
      <c r="C11" s="435" t="s">
        <v>533</v>
      </c>
      <c r="D11" s="435" t="s">
        <v>536</v>
      </c>
      <c r="E11" s="435" t="s">
        <v>537</v>
      </c>
      <c r="F11" s="440"/>
      <c r="G11" s="440"/>
    </row>
    <row r="12" spans="2:7" ht="24.9" customHeight="1">
      <c r="B12" s="440"/>
      <c r="C12" s="435" t="s">
        <v>534</v>
      </c>
      <c r="D12" s="435">
        <f>E12*6</f>
        <v>79.739999999999995</v>
      </c>
      <c r="E12" s="537">
        <v>13.29</v>
      </c>
      <c r="F12" s="440"/>
      <c r="G12" s="440"/>
    </row>
    <row r="13" spans="2:7" ht="24.9" customHeight="1">
      <c r="B13" s="440"/>
      <c r="C13" s="435" t="s">
        <v>535</v>
      </c>
      <c r="D13" s="426">
        <f>D12*20%</f>
        <v>15.948</v>
      </c>
      <c r="E13" s="538"/>
      <c r="F13" s="440"/>
      <c r="G13" s="440"/>
    </row>
    <row r="14" spans="2:7" ht="24.9" customHeight="1">
      <c r="B14" s="440"/>
      <c r="C14" s="435" t="s">
        <v>563</v>
      </c>
      <c r="D14" s="426">
        <f>D12+D13</f>
        <v>95.687999999999988</v>
      </c>
      <c r="E14" s="539"/>
      <c r="F14" s="440"/>
      <c r="G14" s="440"/>
    </row>
    <row r="15" spans="2:7" ht="21" hidden="1" customHeight="1">
      <c r="B15" s="440"/>
      <c r="C15" s="540" t="s">
        <v>588</v>
      </c>
      <c r="D15" s="540"/>
      <c r="E15" s="540"/>
      <c r="F15" s="440"/>
      <c r="G15" s="440"/>
    </row>
  </sheetData>
  <sheetProtection algorithmName="SHA-512" hashValue="OW6xGnyECDcETDpeWlrow0bchMMN57JiWxpOu4sI9SU0GlyJEnbqhl1bVba9QcdjaJs1Z2cwim8XMYlWsO9Ujw==" saltValue="M9VTRehIkF1p7nYZPiBYng==" spinCount="100000" sheet="1" objects="1" scenarios="1"/>
  <mergeCells count="6">
    <mergeCell ref="C5:G5"/>
    <mergeCell ref="E12:E14"/>
    <mergeCell ref="C8:G8"/>
    <mergeCell ref="C15:E15"/>
    <mergeCell ref="C4:G4"/>
    <mergeCell ref="C10:E10"/>
  </mergeCells>
  <phoneticPr fontId="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topLeftCell="A10" zoomScale="90" zoomScaleNormal="90" workbookViewId="0">
      <selection activeCell="B3" sqref="B3:J29"/>
    </sheetView>
  </sheetViews>
  <sheetFormatPr defaultColWidth="11" defaultRowHeight="15.6"/>
  <cols>
    <col min="3" max="3" width="47.6328125" customWidth="1"/>
    <col min="4" max="4" width="16.36328125" bestFit="1" customWidth="1"/>
    <col min="5" max="6" width="11.36328125" bestFit="1" customWidth="1"/>
    <col min="7" max="21" width="15" bestFit="1" customWidth="1"/>
  </cols>
  <sheetData>
    <row r="1" spans="2:10" ht="24.9" customHeight="1"/>
    <row r="2" spans="2:10" ht="24.9" customHeight="1"/>
    <row r="3" spans="2:10" ht="24.9" customHeight="1">
      <c r="B3" s="498" t="s">
        <v>56</v>
      </c>
      <c r="C3" s="498" t="s">
        <v>100</v>
      </c>
      <c r="D3" s="542" t="s">
        <v>42</v>
      </c>
      <c r="E3" s="498" t="s">
        <v>75</v>
      </c>
      <c r="F3" s="498"/>
      <c r="G3" s="498"/>
      <c r="H3" s="498" t="s">
        <v>497</v>
      </c>
      <c r="I3" s="498"/>
      <c r="J3" s="498"/>
    </row>
    <row r="4" spans="2:10" ht="24.9" customHeight="1">
      <c r="B4" s="498"/>
      <c r="C4" s="498"/>
      <c r="D4" s="543"/>
      <c r="E4" s="231">
        <v>1</v>
      </c>
      <c r="F4" s="231">
        <v>2</v>
      </c>
      <c r="G4" s="231">
        <v>3</v>
      </c>
      <c r="H4" s="231">
        <v>4</v>
      </c>
      <c r="I4" s="231">
        <v>5</v>
      </c>
      <c r="J4" s="231">
        <v>6</v>
      </c>
    </row>
    <row r="5" spans="2:10" ht="24.9" customHeight="1">
      <c r="B5" s="231">
        <f>'3使用者付费收入'!B10</f>
        <v>1</v>
      </c>
      <c r="C5" s="231" t="str">
        <f>'3使用者付费收入'!C10</f>
        <v>双创园区标准化厂房（一期）项目</v>
      </c>
      <c r="D5" s="248">
        <f>'3使用者付费收入'!D10</f>
        <v>0</v>
      </c>
      <c r="E5" s="248">
        <f>'3使用者付费收入'!E10</f>
        <v>0</v>
      </c>
      <c r="F5" s="248">
        <f>'3使用者付费收入'!F10</f>
        <v>0</v>
      </c>
      <c r="G5" s="248">
        <f>'3使用者付费收入'!G10</f>
        <v>0</v>
      </c>
      <c r="H5" s="248">
        <f>'3使用者付费收入'!H10</f>
        <v>0</v>
      </c>
      <c r="I5" s="248">
        <f>'3使用者付费收入'!I10</f>
        <v>0</v>
      </c>
      <c r="J5" s="248">
        <f>'3使用者付费收入'!J10</f>
        <v>0</v>
      </c>
    </row>
    <row r="6" spans="2:10" ht="24.9" customHeight="1">
      <c r="B6" s="231">
        <f>'3使用者付费收入'!B11</f>
        <v>2</v>
      </c>
      <c r="C6" s="231" t="str">
        <f>'3使用者付费收入'!C11</f>
        <v>双创园区标准化厂房（二期）项目</v>
      </c>
      <c r="D6" s="248">
        <f>'3使用者付费收入'!D11</f>
        <v>0</v>
      </c>
      <c r="E6" s="248">
        <f>'3使用者付费收入'!E11</f>
        <v>0</v>
      </c>
      <c r="F6" s="248">
        <f>'3使用者付费收入'!F11</f>
        <v>0</v>
      </c>
      <c r="G6" s="248">
        <f>'3使用者付费收入'!G11</f>
        <v>0</v>
      </c>
      <c r="H6" s="248">
        <f>'3使用者付费收入'!H11</f>
        <v>0</v>
      </c>
      <c r="I6" s="248">
        <f>'3使用者付费收入'!I11</f>
        <v>0</v>
      </c>
      <c r="J6" s="248">
        <f>'3使用者付费收入'!J11</f>
        <v>0</v>
      </c>
    </row>
    <row r="7" spans="2:10" ht="24.9" customHeight="1">
      <c r="B7" s="231">
        <f>'3使用者付费收入'!B12</f>
        <v>3</v>
      </c>
      <c r="C7" s="231" t="str">
        <f>'3使用者付费收入'!C12</f>
        <v>危险品运输车辆停车场项目</v>
      </c>
      <c r="D7" s="248">
        <f>'3使用者付费收入'!D12</f>
        <v>26755.745982988465</v>
      </c>
      <c r="E7" s="248">
        <f>'3使用者付费收入'!E12</f>
        <v>0</v>
      </c>
      <c r="F7" s="248">
        <f>'3使用者付费收入'!F12</f>
        <v>0</v>
      </c>
      <c r="G7" s="248">
        <f>'3使用者付费收入'!G12</f>
        <v>0</v>
      </c>
      <c r="H7" s="248">
        <f>'3使用者付费收入'!H12</f>
        <v>1158.96333</v>
      </c>
      <c r="I7" s="248">
        <f>'3使用者付费收入'!I12</f>
        <v>1158.96333</v>
      </c>
      <c r="J7" s="248">
        <f>'3使用者付费收入'!J12</f>
        <v>1158.96333</v>
      </c>
    </row>
    <row r="8" spans="2:10" ht="24.9" customHeight="1">
      <c r="B8" s="231">
        <f>'3使用者付费收入'!B13</f>
        <v>4</v>
      </c>
      <c r="C8" s="231" t="str">
        <f>'3使用者付费收入'!C13</f>
        <v>合计</v>
      </c>
      <c r="D8" s="248">
        <f>'3使用者付费收入'!D13</f>
        <v>26755.745982988465</v>
      </c>
      <c r="E8" s="248">
        <f>'3使用者付费收入'!E13</f>
        <v>0</v>
      </c>
      <c r="F8" s="248">
        <f>'3使用者付费收入'!F13</f>
        <v>0</v>
      </c>
      <c r="G8" s="248">
        <f>'3使用者付费收入'!G13</f>
        <v>0</v>
      </c>
      <c r="H8" s="248">
        <f>'3使用者付费收入'!H13</f>
        <v>1158.96333</v>
      </c>
      <c r="I8" s="248">
        <f>'3使用者付费收入'!I13</f>
        <v>1158.96333</v>
      </c>
      <c r="J8" s="248">
        <f>'3使用者付费收入'!J13</f>
        <v>1158.96333</v>
      </c>
    </row>
    <row r="9" spans="2:10" ht="24.9" customHeight="1">
      <c r="B9" s="201"/>
      <c r="C9" s="201"/>
      <c r="D9" s="201"/>
      <c r="E9" s="201"/>
      <c r="F9" s="201"/>
      <c r="G9" s="201"/>
      <c r="H9" s="201"/>
      <c r="I9" s="201"/>
      <c r="J9" s="201"/>
    </row>
    <row r="10" spans="2:10" ht="24.9" customHeight="1">
      <c r="B10" s="498" t="s">
        <v>56</v>
      </c>
      <c r="C10" s="498" t="s">
        <v>100</v>
      </c>
      <c r="D10" s="542" t="s">
        <v>42</v>
      </c>
      <c r="E10" s="544" t="s">
        <v>497</v>
      </c>
      <c r="F10" s="545"/>
      <c r="G10" s="545"/>
      <c r="H10" s="545"/>
      <c r="I10" s="545"/>
      <c r="J10" s="546"/>
    </row>
    <row r="11" spans="2:10" ht="24.9" customHeight="1">
      <c r="B11" s="498"/>
      <c r="C11" s="498"/>
      <c r="D11" s="543"/>
      <c r="E11" s="231">
        <v>7</v>
      </c>
      <c r="F11" s="231">
        <v>8</v>
      </c>
      <c r="G11" s="231">
        <v>9</v>
      </c>
      <c r="H11" s="231">
        <v>10</v>
      </c>
      <c r="I11" s="231">
        <v>11</v>
      </c>
      <c r="J11" s="231">
        <v>12</v>
      </c>
    </row>
    <row r="12" spans="2:10" ht="24.9" customHeight="1">
      <c r="B12" s="231">
        <f>B5</f>
        <v>1</v>
      </c>
      <c r="C12" s="231" t="str">
        <f t="shared" ref="C12:D12" si="0">C5</f>
        <v>双创园区标准化厂房（一期）项目</v>
      </c>
      <c r="D12" s="248">
        <f t="shared" si="0"/>
        <v>0</v>
      </c>
      <c r="E12" s="248">
        <f>'3使用者付费收入'!K10</f>
        <v>0</v>
      </c>
      <c r="F12" s="248">
        <f>'3使用者付费收入'!L10</f>
        <v>0</v>
      </c>
      <c r="G12" s="248">
        <f>'3使用者付费收入'!M10</f>
        <v>0</v>
      </c>
      <c r="H12" s="248">
        <f>'3使用者付费收入'!N10</f>
        <v>0</v>
      </c>
      <c r="I12" s="248">
        <f>'3使用者付费收入'!O10</f>
        <v>0</v>
      </c>
      <c r="J12" s="248">
        <f>'3使用者付费收入'!P10</f>
        <v>0</v>
      </c>
    </row>
    <row r="13" spans="2:10" ht="24.9" customHeight="1">
      <c r="B13" s="231">
        <f t="shared" ref="B13:D15" si="1">B6</f>
        <v>2</v>
      </c>
      <c r="C13" s="231" t="str">
        <f t="shared" si="1"/>
        <v>双创园区标准化厂房（二期）项目</v>
      </c>
      <c r="D13" s="248">
        <f t="shared" si="1"/>
        <v>0</v>
      </c>
      <c r="E13" s="248">
        <f>'3使用者付费收入'!K11</f>
        <v>0</v>
      </c>
      <c r="F13" s="248">
        <f>'3使用者付费收入'!L11</f>
        <v>0</v>
      </c>
      <c r="G13" s="248">
        <f>'3使用者付费收入'!M11</f>
        <v>0</v>
      </c>
      <c r="H13" s="248">
        <f>'3使用者付费收入'!N11</f>
        <v>0</v>
      </c>
      <c r="I13" s="248">
        <f>'3使用者付费收入'!O11</f>
        <v>0</v>
      </c>
      <c r="J13" s="248">
        <f>'3使用者付费收入'!P11</f>
        <v>0</v>
      </c>
    </row>
    <row r="14" spans="2:10" ht="24.9" customHeight="1">
      <c r="B14" s="231">
        <f t="shared" si="1"/>
        <v>3</v>
      </c>
      <c r="C14" s="231" t="str">
        <f t="shared" si="1"/>
        <v>危险品运输车辆停车场项目</v>
      </c>
      <c r="D14" s="248">
        <f t="shared" si="1"/>
        <v>26755.745982988465</v>
      </c>
      <c r="E14" s="248">
        <f>'3使用者付费收入'!K12</f>
        <v>1216.9114965000001</v>
      </c>
      <c r="F14" s="248">
        <f>'3使用者付费收入'!L12</f>
        <v>1216.9114965000001</v>
      </c>
      <c r="G14" s="248">
        <f>'3使用者付费收入'!M12</f>
        <v>1216.9114965000001</v>
      </c>
      <c r="H14" s="248">
        <f>'3使用者付费收入'!N12</f>
        <v>1277.7570713250002</v>
      </c>
      <c r="I14" s="248">
        <f>'3使用者付费收入'!O12</f>
        <v>1277.7570713250002</v>
      </c>
      <c r="J14" s="248">
        <f>'3使用者付费收入'!P12</f>
        <v>1277.7570713250002</v>
      </c>
    </row>
    <row r="15" spans="2:10" ht="24.9" customHeight="1">
      <c r="B15" s="231">
        <f t="shared" si="1"/>
        <v>4</v>
      </c>
      <c r="C15" s="231" t="str">
        <f t="shared" si="1"/>
        <v>合计</v>
      </c>
      <c r="D15" s="248">
        <f t="shared" si="1"/>
        <v>26755.745982988465</v>
      </c>
      <c r="E15" s="248">
        <f>'3使用者付费收入'!K13</f>
        <v>1216.9114965000001</v>
      </c>
      <c r="F15" s="248">
        <f>'3使用者付费收入'!L13</f>
        <v>1216.9114965000001</v>
      </c>
      <c r="G15" s="248">
        <f>'3使用者付费收入'!M13</f>
        <v>1216.9114965000001</v>
      </c>
      <c r="H15" s="248">
        <f>'3使用者付费收入'!N13</f>
        <v>1277.7570713250002</v>
      </c>
      <c r="I15" s="248">
        <f>'3使用者付费收入'!O13</f>
        <v>1277.7570713250002</v>
      </c>
      <c r="J15" s="248">
        <f>'3使用者付费收入'!P13</f>
        <v>1277.7570713250002</v>
      </c>
    </row>
    <row r="16" spans="2:10" ht="24.9" customHeight="1">
      <c r="B16" s="201"/>
      <c r="C16" s="201"/>
      <c r="D16" s="201"/>
      <c r="E16" s="201"/>
      <c r="F16" s="201"/>
      <c r="G16" s="201"/>
      <c r="H16" s="201"/>
      <c r="I16" s="201"/>
      <c r="J16" s="201"/>
    </row>
    <row r="17" spans="2:10" ht="24.9" customHeight="1">
      <c r="B17" s="498" t="s">
        <v>56</v>
      </c>
      <c r="C17" s="498" t="s">
        <v>100</v>
      </c>
      <c r="D17" s="542" t="s">
        <v>42</v>
      </c>
      <c r="E17" s="498" t="s">
        <v>497</v>
      </c>
      <c r="F17" s="498"/>
      <c r="G17" s="498"/>
      <c r="H17" s="498"/>
      <c r="I17" s="498"/>
      <c r="J17" s="498"/>
    </row>
    <row r="18" spans="2:10" ht="24.9" customHeight="1">
      <c r="B18" s="498"/>
      <c r="C18" s="498"/>
      <c r="D18" s="543"/>
      <c r="E18" s="231">
        <v>13</v>
      </c>
      <c r="F18" s="231">
        <v>14</v>
      </c>
      <c r="G18" s="231">
        <v>15</v>
      </c>
      <c r="H18" s="231">
        <v>16</v>
      </c>
      <c r="I18" s="231">
        <v>17</v>
      </c>
      <c r="J18" s="290">
        <v>18</v>
      </c>
    </row>
    <row r="19" spans="2:10" ht="24.9" customHeight="1">
      <c r="B19" s="231">
        <f>B12</f>
        <v>1</v>
      </c>
      <c r="C19" s="231" t="str">
        <f t="shared" ref="C19:D19" si="2">C12</f>
        <v>双创园区标准化厂房（一期）项目</v>
      </c>
      <c r="D19" s="248">
        <f t="shared" si="2"/>
        <v>0</v>
      </c>
      <c r="E19" s="248">
        <f>'3使用者付费收入'!Q10</f>
        <v>0</v>
      </c>
      <c r="F19" s="248">
        <f>'3使用者付费收入'!R10</f>
        <v>0</v>
      </c>
      <c r="G19" s="248">
        <f>'3使用者付费收入'!S10</f>
        <v>0</v>
      </c>
      <c r="H19" s="248">
        <f>'3使用者付费收入'!T10</f>
        <v>0</v>
      </c>
      <c r="I19" s="248">
        <f>'3使用者付费收入'!U10</f>
        <v>0</v>
      </c>
      <c r="J19" s="248">
        <f>'3使用者付费收入'!V10</f>
        <v>0</v>
      </c>
    </row>
    <row r="20" spans="2:10" ht="24.9" customHeight="1">
      <c r="B20" s="231">
        <f t="shared" ref="B20:D20" si="3">B13</f>
        <v>2</v>
      </c>
      <c r="C20" s="231" t="str">
        <f t="shared" si="3"/>
        <v>双创园区标准化厂房（二期）项目</v>
      </c>
      <c r="D20" s="248">
        <f t="shared" si="3"/>
        <v>0</v>
      </c>
      <c r="E20" s="248">
        <f>'3使用者付费收入'!Q11</f>
        <v>0</v>
      </c>
      <c r="F20" s="248">
        <f>'3使用者付费收入'!R11</f>
        <v>0</v>
      </c>
      <c r="G20" s="248">
        <f>'3使用者付费收入'!S11</f>
        <v>0</v>
      </c>
      <c r="H20" s="248">
        <f>'3使用者付费收入'!T11</f>
        <v>0</v>
      </c>
      <c r="I20" s="248">
        <f>'3使用者付费收入'!U11</f>
        <v>0</v>
      </c>
      <c r="J20" s="248">
        <f>'3使用者付费收入'!V11</f>
        <v>0</v>
      </c>
    </row>
    <row r="21" spans="2:10" ht="24.9" customHeight="1">
      <c r="B21" s="231">
        <f t="shared" ref="B21:D21" si="4">B14</f>
        <v>3</v>
      </c>
      <c r="C21" s="231" t="str">
        <f t="shared" si="4"/>
        <v>危险品运输车辆停车场项目</v>
      </c>
      <c r="D21" s="248">
        <f t="shared" si="4"/>
        <v>26755.745982988465</v>
      </c>
      <c r="E21" s="248">
        <f>'3使用者付费收入'!Q12</f>
        <v>1341.6449248912502</v>
      </c>
      <c r="F21" s="248">
        <f>'3使用者付费收入'!R12</f>
        <v>1341.6449248912502</v>
      </c>
      <c r="G21" s="248">
        <f>'3使用者付费收入'!S12</f>
        <v>1341.6449248912502</v>
      </c>
      <c r="H21" s="248">
        <f>'3使用者付费收入'!T12</f>
        <v>1408.7271711358128</v>
      </c>
      <c r="I21" s="248">
        <f>'3使用者付费收入'!U12</f>
        <v>1408.7271711358128</v>
      </c>
      <c r="J21" s="248">
        <f>'3使用者付费收入'!V12</f>
        <v>1408.7271711358128</v>
      </c>
    </row>
    <row r="22" spans="2:10" ht="24.9" customHeight="1">
      <c r="B22" s="231">
        <f t="shared" ref="B22:D22" si="5">B15</f>
        <v>4</v>
      </c>
      <c r="C22" s="231" t="str">
        <f t="shared" si="5"/>
        <v>合计</v>
      </c>
      <c r="D22" s="248">
        <f t="shared" si="5"/>
        <v>26755.745982988465</v>
      </c>
      <c r="E22" s="248">
        <f>'3使用者付费收入'!Q13</f>
        <v>1341.6449248912502</v>
      </c>
      <c r="F22" s="248">
        <f>'3使用者付费收入'!R13</f>
        <v>1341.6449248912502</v>
      </c>
      <c r="G22" s="248">
        <f>'3使用者付费收入'!S13</f>
        <v>1341.6449248912502</v>
      </c>
      <c r="H22" s="248">
        <f>'3使用者付费收入'!T13</f>
        <v>1408.7271711358128</v>
      </c>
      <c r="I22" s="248">
        <f>'3使用者付费收入'!U13</f>
        <v>1408.7271711358128</v>
      </c>
      <c r="J22" s="248">
        <f>'3使用者付费收入'!V13</f>
        <v>1408.7271711358128</v>
      </c>
    </row>
    <row r="23" spans="2:10" ht="24.9" customHeight="1"/>
    <row r="24" spans="2:10" ht="24.9" customHeight="1">
      <c r="B24" s="498" t="s">
        <v>56</v>
      </c>
      <c r="C24" s="498" t="s">
        <v>100</v>
      </c>
      <c r="D24" s="542" t="s">
        <v>42</v>
      </c>
      <c r="E24" s="498" t="s">
        <v>497</v>
      </c>
      <c r="F24" s="498"/>
      <c r="G24" s="498"/>
      <c r="H24" s="498"/>
      <c r="I24" s="498"/>
    </row>
    <row r="25" spans="2:10" ht="24.9" customHeight="1">
      <c r="B25" s="498"/>
      <c r="C25" s="498"/>
      <c r="D25" s="543"/>
      <c r="E25" s="333">
        <v>19</v>
      </c>
      <c r="F25" s="333">
        <v>20</v>
      </c>
      <c r="G25" s="333">
        <v>21</v>
      </c>
      <c r="H25" s="333">
        <v>22</v>
      </c>
      <c r="I25" s="333">
        <v>23</v>
      </c>
    </row>
    <row r="26" spans="2:10" ht="24.9" customHeight="1">
      <c r="B26" s="333">
        <f>B19</f>
        <v>1</v>
      </c>
      <c r="C26" s="333" t="str">
        <f t="shared" ref="C26:D26" si="6">C19</f>
        <v>双创园区标准化厂房（一期）项目</v>
      </c>
      <c r="D26" s="248">
        <f t="shared" si="6"/>
        <v>0</v>
      </c>
      <c r="E26" s="248">
        <f>'3使用者付费收入'!W10</f>
        <v>0</v>
      </c>
      <c r="F26" s="248">
        <f>'3使用者付费收入'!X10</f>
        <v>0</v>
      </c>
      <c r="G26" s="248">
        <f>'3使用者付费收入'!Y10</f>
        <v>0</v>
      </c>
      <c r="H26" s="248">
        <f>'3使用者付费收入'!Z10</f>
        <v>0</v>
      </c>
      <c r="I26" s="248">
        <f>'3使用者付费收入'!AA10</f>
        <v>0</v>
      </c>
    </row>
    <row r="27" spans="2:10" ht="24.9" customHeight="1">
      <c r="B27" s="333">
        <f t="shared" ref="B27:D27" si="7">B20</f>
        <v>2</v>
      </c>
      <c r="C27" s="333" t="str">
        <f t="shared" si="7"/>
        <v>双创园区标准化厂房（二期）项目</v>
      </c>
      <c r="D27" s="248">
        <f t="shared" si="7"/>
        <v>0</v>
      </c>
      <c r="E27" s="248">
        <f>'3使用者付费收入'!W11</f>
        <v>0</v>
      </c>
      <c r="F27" s="248">
        <f>'3使用者付费收入'!X11</f>
        <v>0</v>
      </c>
      <c r="G27" s="248">
        <f>'3使用者付费收入'!Y11</f>
        <v>0</v>
      </c>
      <c r="H27" s="248">
        <f>'3使用者付费收入'!Z11</f>
        <v>0</v>
      </c>
      <c r="I27" s="248">
        <f>'3使用者付费收入'!AA11</f>
        <v>0</v>
      </c>
    </row>
    <row r="28" spans="2:10" ht="24.9" customHeight="1">
      <c r="B28" s="333">
        <f t="shared" ref="B28:D28" si="8">B21</f>
        <v>3</v>
      </c>
      <c r="C28" s="333" t="str">
        <f t="shared" si="8"/>
        <v>危险品运输车辆停车场项目</v>
      </c>
      <c r="D28" s="248">
        <f t="shared" si="8"/>
        <v>26755.745982988465</v>
      </c>
      <c r="E28" s="248">
        <f>'3使用者付费收入'!W12</f>
        <v>1479.1635296926036</v>
      </c>
      <c r="F28" s="248">
        <f>'3使用者付费收入'!X12</f>
        <v>1479.1635296926036</v>
      </c>
      <c r="G28" s="248">
        <f>'3使用者付费收入'!Y12</f>
        <v>1479.1635296926036</v>
      </c>
      <c r="H28" s="248">
        <f>'3使用者付费收入'!Z12</f>
        <v>1553.1217061772338</v>
      </c>
      <c r="I28" s="248">
        <f>'3使用者付费收入'!AA12</f>
        <v>1553.1217061772338</v>
      </c>
    </row>
    <row r="29" spans="2:10" ht="24.9" customHeight="1">
      <c r="B29" s="333">
        <f t="shared" ref="B29:D29" si="9">B22</f>
        <v>4</v>
      </c>
      <c r="C29" s="333" t="str">
        <f t="shared" si="9"/>
        <v>合计</v>
      </c>
      <c r="D29" s="248">
        <f t="shared" si="9"/>
        <v>26755.745982988465</v>
      </c>
      <c r="E29" s="248">
        <f>'3使用者付费收入'!W13</f>
        <v>1479.1635296926036</v>
      </c>
      <c r="F29" s="248">
        <f>'3使用者付费收入'!X13</f>
        <v>1479.1635296926036</v>
      </c>
      <c r="G29" s="248">
        <f>'3使用者付费收入'!Y13</f>
        <v>1479.1635296926036</v>
      </c>
      <c r="H29" s="248">
        <f>'3使用者付费收入'!Z13</f>
        <v>1553.1217061772338</v>
      </c>
      <c r="I29" s="248">
        <f>'3使用者付费收入'!AA13</f>
        <v>1553.1217061772338</v>
      </c>
    </row>
    <row r="30" spans="2:10" ht="24.9" customHeight="1"/>
    <row r="31" spans="2:10" ht="24.9" customHeight="1"/>
    <row r="32" spans="2:10"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sheetData>
  <mergeCells count="17">
    <mergeCell ref="E10:J10"/>
    <mergeCell ref="B3:B4"/>
    <mergeCell ref="C3:C4"/>
    <mergeCell ref="D3:D4"/>
    <mergeCell ref="B10:B11"/>
    <mergeCell ref="C10:C11"/>
    <mergeCell ref="D10:D11"/>
    <mergeCell ref="E3:G3"/>
    <mergeCell ref="H3:J3"/>
    <mergeCell ref="B24:B25"/>
    <mergeCell ref="C24:C25"/>
    <mergeCell ref="D24:D25"/>
    <mergeCell ref="E24:I24"/>
    <mergeCell ref="B17:B18"/>
    <mergeCell ref="C17:C18"/>
    <mergeCell ref="D17:D18"/>
    <mergeCell ref="E17:J17"/>
  </mergeCells>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5"/>
  <sheetViews>
    <sheetView topLeftCell="A7" workbookViewId="0">
      <selection activeCell="E16" sqref="E16"/>
    </sheetView>
  </sheetViews>
  <sheetFormatPr defaultColWidth="11" defaultRowHeight="17.399999999999999"/>
  <cols>
    <col min="2" max="2" width="13.90625" style="28" bestFit="1" customWidth="1"/>
    <col min="3" max="3" width="19" style="28" bestFit="1" customWidth="1"/>
    <col min="4" max="4" width="16.36328125" style="28" bestFit="1" customWidth="1"/>
    <col min="5" max="5" width="12.453125" style="28" bestFit="1" customWidth="1"/>
    <col min="6" max="7" width="13.6328125" style="28" customWidth="1"/>
    <col min="8" max="8" width="12.453125" style="28" bestFit="1" customWidth="1"/>
    <col min="9" max="9" width="16.36328125" bestFit="1" customWidth="1"/>
    <col min="11" max="11" width="19" customWidth="1"/>
    <col min="12" max="12" width="20.90625" bestFit="1" customWidth="1"/>
  </cols>
  <sheetData>
    <row r="1" spans="2:15" ht="18" thickBot="1"/>
    <row r="2" spans="2:15" ht="24.9" customHeight="1">
      <c r="C2" s="547" t="s">
        <v>22</v>
      </c>
      <c r="D2" s="30" t="s">
        <v>50</v>
      </c>
      <c r="E2" s="258">
        <v>4.65E-2</v>
      </c>
      <c r="F2" s="549">
        <f>E2*(1+E3)</f>
        <v>5.5799999999999995E-2</v>
      </c>
    </row>
    <row r="3" spans="2:15" ht="24.9" customHeight="1" thickBot="1">
      <c r="C3" s="548"/>
      <c r="D3" s="31" t="s">
        <v>51</v>
      </c>
      <c r="E3" s="257">
        <v>0.2</v>
      </c>
      <c r="F3" s="550"/>
    </row>
    <row r="4" spans="2:15" ht="24.9" customHeight="1" thickBot="1">
      <c r="E4" s="32"/>
    </row>
    <row r="5" spans="2:15" ht="24.9" customHeight="1">
      <c r="C5" s="551" t="s">
        <v>402</v>
      </c>
      <c r="D5" s="265" t="s">
        <v>46</v>
      </c>
      <c r="E5" s="266">
        <v>0.15</v>
      </c>
      <c r="H5"/>
    </row>
    <row r="6" spans="2:15" ht="24.9" customHeight="1" thickBot="1">
      <c r="C6" s="552"/>
      <c r="D6" s="267" t="s">
        <v>47</v>
      </c>
      <c r="E6" s="268">
        <f>1-E5</f>
        <v>0.85</v>
      </c>
      <c r="H6"/>
      <c r="L6" s="325">
        <f ca="1">H10-H12</f>
        <v>66320.87780218813</v>
      </c>
    </row>
    <row r="7" spans="2:15" ht="20.100000000000001" customHeight="1" thickBot="1"/>
    <row r="8" spans="2:15" ht="20.100000000000001" customHeight="1">
      <c r="B8" s="547" t="s">
        <v>7</v>
      </c>
      <c r="C8" s="554" t="s">
        <v>39</v>
      </c>
      <c r="D8" s="554"/>
      <c r="E8" s="255" t="s">
        <v>40</v>
      </c>
      <c r="F8" s="255" t="s">
        <v>41</v>
      </c>
      <c r="G8" s="255" t="s">
        <v>405</v>
      </c>
      <c r="H8" s="255" t="s">
        <v>42</v>
      </c>
      <c r="I8" s="555" t="s">
        <v>43</v>
      </c>
    </row>
    <row r="9" spans="2:15" ht="20.100000000000001" customHeight="1">
      <c r="B9" s="553"/>
      <c r="C9" s="492"/>
      <c r="D9" s="492"/>
      <c r="E9" s="33">
        <f>'2-1投资计划表--分子项'!D3</f>
        <v>0.4</v>
      </c>
      <c r="F9" s="33">
        <f>'2-1投资计划表--分子项'!E3</f>
        <v>0.3</v>
      </c>
      <c r="G9" s="33">
        <f>'2-1投资计划表--分子项'!F3</f>
        <v>0.3</v>
      </c>
      <c r="H9" s="33">
        <v>1</v>
      </c>
      <c r="I9" s="556"/>
    </row>
    <row r="10" spans="2:15" ht="20.100000000000001" customHeight="1">
      <c r="B10" s="45" t="s">
        <v>12</v>
      </c>
      <c r="C10" s="492" t="s">
        <v>44</v>
      </c>
      <c r="D10" s="492"/>
      <c r="E10" s="238">
        <f ca="1">E11+E14</f>
        <v>26115.949621416003</v>
      </c>
      <c r="F10" s="238">
        <f t="shared" ref="F10:G10" ca="1" si="0">F11+F14</f>
        <v>20707.749458893992</v>
      </c>
      <c r="G10" s="238">
        <f t="shared" ca="1" si="0"/>
        <v>21548.339891017982</v>
      </c>
      <c r="H10" s="238">
        <f ca="1">H11+H14</f>
        <v>68372.038971327973</v>
      </c>
      <c r="I10" s="256">
        <f>100%</f>
        <v>1</v>
      </c>
    </row>
    <row r="11" spans="2:15" ht="20.100000000000001" customHeight="1">
      <c r="B11" s="45" t="s">
        <v>14</v>
      </c>
      <c r="C11" s="492" t="s">
        <v>45</v>
      </c>
      <c r="D11" s="492"/>
      <c r="E11" s="238">
        <f ca="1">$H$11*E9</f>
        <v>5469.7631177062385</v>
      </c>
      <c r="F11" s="238">
        <f t="shared" ref="F11:G11" ca="1" si="1">$H$11*F9</f>
        <v>4102.3223382796787</v>
      </c>
      <c r="G11" s="238">
        <f t="shared" ca="1" si="1"/>
        <v>4102.3223382796787</v>
      </c>
      <c r="H11" s="238">
        <f ca="1">'1投资估算'!D13*'2投资计划表'!I11</f>
        <v>13674.407794265595</v>
      </c>
      <c r="I11" s="557">
        <v>0.2</v>
      </c>
      <c r="K11" s="216">
        <f ca="1">H10-H12</f>
        <v>66320.87780218813</v>
      </c>
    </row>
    <row r="12" spans="2:15" ht="20.100000000000001" customHeight="1">
      <c r="B12" s="45">
        <v>1</v>
      </c>
      <c r="C12" s="234" t="s">
        <v>46</v>
      </c>
      <c r="D12" s="33">
        <f>E5</f>
        <v>0.15</v>
      </c>
      <c r="E12" s="238">
        <f ca="1">E11*$D$12</f>
        <v>820.46446765593578</v>
      </c>
      <c r="F12" s="238">
        <f t="shared" ref="F12:G12" ca="1" si="2">F11*$D$12</f>
        <v>615.34835074195178</v>
      </c>
      <c r="G12" s="238">
        <f t="shared" ca="1" si="2"/>
        <v>615.34835074195178</v>
      </c>
      <c r="H12" s="238">
        <f ca="1">H11*$D$12</f>
        <v>2051.1611691398393</v>
      </c>
      <c r="I12" s="557"/>
      <c r="O12" s="325">
        <f ca="1">H13+H14</f>
        <v>66320.87780218813</v>
      </c>
    </row>
    <row r="13" spans="2:15" ht="20.100000000000001" customHeight="1">
      <c r="B13" s="45">
        <v>2</v>
      </c>
      <c r="C13" s="234" t="s">
        <v>47</v>
      </c>
      <c r="D13" s="33">
        <f>E6</f>
        <v>0.85</v>
      </c>
      <c r="E13" s="238">
        <f ca="1">E11*$D$13</f>
        <v>4649.298650050303</v>
      </c>
      <c r="F13" s="238">
        <f t="shared" ref="F13:G13" ca="1" si="3">F11*$D$13</f>
        <v>3486.9739875377268</v>
      </c>
      <c r="G13" s="238">
        <f t="shared" ca="1" si="3"/>
        <v>3486.9739875377268</v>
      </c>
      <c r="H13" s="238">
        <f ca="1">H11*$D$13</f>
        <v>11623.246625125756</v>
      </c>
      <c r="I13" s="557"/>
    </row>
    <row r="14" spans="2:15" ht="20.100000000000001" customHeight="1">
      <c r="B14" s="45" t="s">
        <v>16</v>
      </c>
      <c r="C14" s="492" t="s">
        <v>48</v>
      </c>
      <c r="D14" s="492"/>
      <c r="E14" s="153">
        <f ca="1">E15+E16</f>
        <v>20646.186503709763</v>
      </c>
      <c r="F14" s="153">
        <f t="shared" ref="F14:G14" ca="1" si="4">F15+F16</f>
        <v>16605.427120614313</v>
      </c>
      <c r="G14" s="153">
        <f t="shared" ca="1" si="4"/>
        <v>17446.017552738303</v>
      </c>
      <c r="H14" s="153">
        <f ca="1">H15+H16</f>
        <v>54697.63117706238</v>
      </c>
      <c r="I14" s="558">
        <f ca="1">H14/H10</f>
        <v>0.8</v>
      </c>
    </row>
    <row r="15" spans="2:15" ht="20.100000000000001" customHeight="1">
      <c r="B15" s="45">
        <v>1</v>
      </c>
      <c r="C15" s="492" t="s">
        <v>49</v>
      </c>
      <c r="D15" s="492"/>
      <c r="E15" s="238">
        <f ca="1">$H$15*E9</f>
        <v>20085.792882293768</v>
      </c>
      <c r="F15" s="238">
        <f ca="1">$H$15*F9</f>
        <v>15064.344661720323</v>
      </c>
      <c r="G15" s="238">
        <f t="shared" ref="G15" ca="1" si="5">$H$15*G9</f>
        <v>15064.344661720323</v>
      </c>
      <c r="H15" s="238">
        <f ca="1">'1投资估算'!D4-'2投资计划表'!H11</f>
        <v>50214.482205734414</v>
      </c>
      <c r="I15" s="558"/>
    </row>
    <row r="16" spans="2:15" ht="20.100000000000001" customHeight="1" thickBot="1">
      <c r="B16" s="259">
        <v>2</v>
      </c>
      <c r="C16" s="237" t="s">
        <v>22</v>
      </c>
      <c r="D16" s="235">
        <f>F2</f>
        <v>5.5799999999999995E-2</v>
      </c>
      <c r="E16" s="236">
        <f ca="1">E15*D16/2</f>
        <v>560.39362141599611</v>
      </c>
      <c r="F16" s="236">
        <f ca="1">(E15+F15/2)*D16</f>
        <v>1541.082458893989</v>
      </c>
      <c r="G16" s="236">
        <f ca="1">(E15+F15+G15/2)*D16</f>
        <v>2381.6728910179827</v>
      </c>
      <c r="H16" s="236">
        <f ca="1">E16+F16+G16</f>
        <v>4483.148971327968</v>
      </c>
      <c r="I16" s="559"/>
    </row>
    <row r="17" spans="2:11" ht="20.100000000000001" customHeight="1">
      <c r="B17" s="547" t="s">
        <v>21</v>
      </c>
      <c r="C17" s="563" t="s">
        <v>370</v>
      </c>
      <c r="D17" s="563"/>
      <c r="E17" s="260">
        <f>$H$17*E9-F25</f>
        <v>15743.456000000002</v>
      </c>
      <c r="F17" s="260">
        <f>$H$17*F9+G25</f>
        <v>15250.626999999999</v>
      </c>
      <c r="G17" s="260">
        <f>$H$17*G9+G25</f>
        <v>15250.626999999999</v>
      </c>
      <c r="H17" s="260">
        <f>'1投资估算'!D7</f>
        <v>46244.71</v>
      </c>
      <c r="I17" s="560">
        <f ca="1">H17+H18+H19+H21+H22</f>
        <v>68372.038971327973</v>
      </c>
      <c r="K17" s="315">
        <f>H17-SUM(E17:G17)</f>
        <v>0</v>
      </c>
    </row>
    <row r="18" spans="2:11" ht="20.100000000000001" customHeight="1">
      <c r="B18" s="553"/>
      <c r="C18" s="564" t="s">
        <v>369</v>
      </c>
      <c r="D18" s="564"/>
      <c r="E18" s="238">
        <f>$H$18*E9</f>
        <v>1613.7360000000001</v>
      </c>
      <c r="F18" s="238">
        <f t="shared" ref="F18:G18" si="6">$H$18*F9</f>
        <v>1210.3019999999999</v>
      </c>
      <c r="G18" s="238">
        <f t="shared" si="6"/>
        <v>1210.3019999999999</v>
      </c>
      <c r="H18" s="238">
        <f>'1投资估算'!D8</f>
        <v>4034.34</v>
      </c>
      <c r="I18" s="561"/>
      <c r="K18" s="315">
        <f t="shared" ref="K18:K22" si="7">H18-SUM(E18:G18)</f>
        <v>0</v>
      </c>
    </row>
    <row r="19" spans="2:11" ht="20.100000000000001" customHeight="1">
      <c r="B19" s="553"/>
      <c r="C19" s="564" t="s">
        <v>52</v>
      </c>
      <c r="D19" s="564"/>
      <c r="E19" s="313">
        <f>H20</f>
        <v>6918.6</v>
      </c>
      <c r="F19" s="238">
        <f>$H$19*F9-G25</f>
        <v>1745.915</v>
      </c>
      <c r="G19" s="238">
        <f>$H$19*G9-G25</f>
        <v>1745.915</v>
      </c>
      <c r="H19" s="238">
        <f>'1投资估算'!D9</f>
        <v>10410.43</v>
      </c>
      <c r="I19" s="561"/>
      <c r="K19" s="315">
        <f t="shared" si="7"/>
        <v>0</v>
      </c>
    </row>
    <row r="20" spans="2:11" ht="20.100000000000001" customHeight="1">
      <c r="B20" s="553"/>
      <c r="C20" s="565" t="s">
        <v>25</v>
      </c>
      <c r="D20" s="565"/>
      <c r="E20" s="238">
        <f>H20</f>
        <v>6918.6</v>
      </c>
      <c r="F20" s="238"/>
      <c r="G20" s="238"/>
      <c r="H20" s="238">
        <f>'1投资估算'!D10</f>
        <v>6918.6</v>
      </c>
      <c r="I20" s="561"/>
      <c r="K20" s="315">
        <f t="shared" si="7"/>
        <v>0</v>
      </c>
    </row>
    <row r="21" spans="2:11" ht="20.100000000000001" customHeight="1">
      <c r="B21" s="553"/>
      <c r="C21" s="564" t="s">
        <v>20</v>
      </c>
      <c r="D21" s="564"/>
      <c r="E21" s="238">
        <f>$H$21*E9</f>
        <v>1279.7640000000001</v>
      </c>
      <c r="F21" s="238">
        <f t="shared" ref="F21:G21" si="8">$H$21*F9</f>
        <v>959.82300000000009</v>
      </c>
      <c r="G21" s="238">
        <f t="shared" si="8"/>
        <v>959.82300000000009</v>
      </c>
      <c r="H21" s="238">
        <f>'1投资估算'!D11</f>
        <v>3199.4100000000003</v>
      </c>
      <c r="I21" s="561"/>
      <c r="K21" s="315">
        <f t="shared" si="7"/>
        <v>0</v>
      </c>
    </row>
    <row r="22" spans="2:11" ht="20.100000000000001" customHeight="1" thickBot="1">
      <c r="B22" s="548"/>
      <c r="C22" s="566" t="s">
        <v>22</v>
      </c>
      <c r="D22" s="566"/>
      <c r="E22" s="70">
        <f ca="1">E16</f>
        <v>560.39362141599611</v>
      </c>
      <c r="F22" s="70">
        <f t="shared" ref="F22:G22" ca="1" si="9">F16</f>
        <v>1541.082458893989</v>
      </c>
      <c r="G22" s="70">
        <f t="shared" ca="1" si="9"/>
        <v>2381.6728910179827</v>
      </c>
      <c r="H22" s="70">
        <f ca="1">'1投资估算'!D12</f>
        <v>4483.148971327968</v>
      </c>
      <c r="I22" s="562"/>
      <c r="K22" s="315">
        <f t="shared" ca="1" si="7"/>
        <v>0</v>
      </c>
    </row>
    <row r="23" spans="2:11" ht="20.100000000000001" customHeight="1"/>
    <row r="24" spans="2:11" ht="20.100000000000001" customHeight="1">
      <c r="E24" s="403">
        <f ca="1">E17+E18+E19+E21+E22</f>
        <v>26115.949621415995</v>
      </c>
      <c r="F24" s="403">
        <f t="shared" ref="F24:G24" ca="1" si="10">F17+F18+F19+F21+F22</f>
        <v>20707.749458893992</v>
      </c>
      <c r="G24" s="403">
        <f t="shared" ca="1" si="10"/>
        <v>21548.339891017982</v>
      </c>
    </row>
    <row r="25" spans="2:11">
      <c r="E25" s="238">
        <f>$H$19*E9</f>
        <v>4164.1720000000005</v>
      </c>
      <c r="F25" s="314">
        <f>H20-E25</f>
        <v>2754.4279999999999</v>
      </c>
      <c r="G25" s="196">
        <f>F25/2</f>
        <v>1377.2139999999999</v>
      </c>
    </row>
  </sheetData>
  <mergeCells count="20">
    <mergeCell ref="I17:I22"/>
    <mergeCell ref="B17:B22"/>
    <mergeCell ref="C17:D17"/>
    <mergeCell ref="C18:D18"/>
    <mergeCell ref="C19:D19"/>
    <mergeCell ref="C20:D20"/>
    <mergeCell ref="C21:D21"/>
    <mergeCell ref="C22:D22"/>
    <mergeCell ref="I8:I9"/>
    <mergeCell ref="C10:D10"/>
    <mergeCell ref="C11:D11"/>
    <mergeCell ref="I11:I13"/>
    <mergeCell ref="C14:D14"/>
    <mergeCell ref="I14:I16"/>
    <mergeCell ref="C15:D15"/>
    <mergeCell ref="C2:C3"/>
    <mergeCell ref="F2:F3"/>
    <mergeCell ref="C5:C6"/>
    <mergeCell ref="B8:B9"/>
    <mergeCell ref="C8:D9"/>
  </mergeCells>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33"/>
  <sheetViews>
    <sheetView topLeftCell="A7" workbookViewId="0">
      <selection activeCell="AE10" sqref="AE10"/>
    </sheetView>
  </sheetViews>
  <sheetFormatPr defaultColWidth="11" defaultRowHeight="15.6"/>
  <cols>
    <col min="1" max="1" width="11.08984375" style="458" bestFit="1" customWidth="1"/>
    <col min="2" max="2" width="4.453125" style="462" customWidth="1"/>
    <col min="3" max="3" width="9.453125" style="462" customWidth="1"/>
    <col min="4" max="4" width="5.90625" style="462" customWidth="1"/>
    <col min="5" max="5" width="5.6328125" style="462" customWidth="1"/>
    <col min="6" max="6" width="9.6328125" style="462" customWidth="1"/>
    <col min="7" max="18" width="7.6328125" style="462" customWidth="1"/>
    <col min="19" max="29" width="11" style="458" hidden="1" customWidth="1"/>
    <col min="30" max="31" width="11" style="458"/>
  </cols>
  <sheetData>
    <row r="1" spans="1:29" ht="24.9" customHeight="1"/>
    <row r="2" spans="1:29" ht="24.9" hidden="1" customHeight="1">
      <c r="E2" s="463" t="s">
        <v>398</v>
      </c>
      <c r="F2" s="464" t="s">
        <v>399</v>
      </c>
      <c r="G2" s="464" t="s">
        <v>400</v>
      </c>
      <c r="H2" s="465" t="s">
        <v>504</v>
      </c>
    </row>
    <row r="3" spans="1:29" ht="24.9" hidden="1" customHeight="1" thickBot="1">
      <c r="E3" s="466">
        <v>4.5999999999999999E-2</v>
      </c>
      <c r="F3" s="467">
        <f>G3/E3-1</f>
        <v>0.41304347826086962</v>
      </c>
      <c r="G3" s="468">
        <v>6.5000000000000002E-2</v>
      </c>
      <c r="H3" s="469">
        <f>(G3-E3)*10000</f>
        <v>190.00000000000003</v>
      </c>
    </row>
    <row r="4" spans="1:29" ht="24.9" customHeight="1"/>
    <row r="5" spans="1:29" ht="24.9" customHeight="1">
      <c r="B5" s="573" t="s">
        <v>0</v>
      </c>
      <c r="C5" s="573" t="s">
        <v>106</v>
      </c>
      <c r="D5" s="574" t="s">
        <v>107</v>
      </c>
      <c r="E5" s="575"/>
      <c r="F5" s="573" t="s">
        <v>6</v>
      </c>
      <c r="G5" s="582" t="s">
        <v>496</v>
      </c>
      <c r="H5" s="583"/>
      <c r="I5" s="584"/>
      <c r="J5" s="582" t="s">
        <v>497</v>
      </c>
      <c r="K5" s="583"/>
      <c r="L5" s="583"/>
      <c r="M5" s="583"/>
      <c r="N5" s="583"/>
      <c r="O5" s="583"/>
      <c r="P5" s="583"/>
      <c r="Q5" s="583"/>
      <c r="R5" s="584"/>
    </row>
    <row r="6" spans="1:29" ht="24.9" customHeight="1">
      <c r="B6" s="573"/>
      <c r="C6" s="573"/>
      <c r="D6" s="576"/>
      <c r="E6" s="577"/>
      <c r="F6" s="573"/>
      <c r="G6" s="470">
        <v>1</v>
      </c>
      <c r="H6" s="470">
        <v>2</v>
      </c>
      <c r="I6" s="470">
        <v>3</v>
      </c>
      <c r="J6" s="470">
        <v>4</v>
      </c>
      <c r="K6" s="470">
        <v>5</v>
      </c>
      <c r="L6" s="470">
        <v>6</v>
      </c>
      <c r="M6" s="470">
        <v>7</v>
      </c>
      <c r="N6" s="470">
        <v>8</v>
      </c>
      <c r="O6" s="470">
        <v>9</v>
      </c>
      <c r="P6" s="470">
        <v>10</v>
      </c>
      <c r="Q6" s="470">
        <v>11</v>
      </c>
      <c r="R6" s="470">
        <v>12</v>
      </c>
    </row>
    <row r="7" spans="1:29" ht="34.5" customHeight="1">
      <c r="A7" s="471"/>
      <c r="B7" s="470">
        <v>1</v>
      </c>
      <c r="C7" s="472" t="s">
        <v>108</v>
      </c>
      <c r="D7" s="473" t="s">
        <v>578</v>
      </c>
      <c r="E7" s="432"/>
      <c r="F7" s="474">
        <f ca="1">SUM(G7:R7)+SUM(G13:Q13)</f>
        <v>66320.87780218813</v>
      </c>
      <c r="G7" s="474"/>
      <c r="H7" s="474"/>
      <c r="I7" s="474"/>
      <c r="J7" s="474">
        <f ca="1">PMT(E7,20,-('2投资计划表'!H10-'2投资计划表'!H12))</f>
        <v>3316.0438901094067</v>
      </c>
      <c r="K7" s="474">
        <f ca="1">J7</f>
        <v>3316.0438901094067</v>
      </c>
      <c r="L7" s="474">
        <f t="shared" ref="L7:R7" ca="1" si="0">K7</f>
        <v>3316.0438901094067</v>
      </c>
      <c r="M7" s="474">
        <f t="shared" ca="1" si="0"/>
        <v>3316.0438901094067</v>
      </c>
      <c r="N7" s="474">
        <f t="shared" ca="1" si="0"/>
        <v>3316.0438901094067</v>
      </c>
      <c r="O7" s="474">
        <f t="shared" ca="1" si="0"/>
        <v>3316.0438901094067</v>
      </c>
      <c r="P7" s="474">
        <f t="shared" ca="1" si="0"/>
        <v>3316.0438901094067</v>
      </c>
      <c r="Q7" s="474">
        <f t="shared" ca="1" si="0"/>
        <v>3316.0438901094067</v>
      </c>
      <c r="R7" s="474">
        <f t="shared" ca="1" si="0"/>
        <v>3316.0438901094067</v>
      </c>
    </row>
    <row r="8" spans="1:29" ht="24.9" customHeight="1">
      <c r="A8" s="471"/>
      <c r="B8" s="470">
        <v>2</v>
      </c>
      <c r="C8" s="472" t="s">
        <v>502</v>
      </c>
      <c r="D8" s="475"/>
      <c r="E8" s="470"/>
      <c r="F8" s="474">
        <f>SUM(G8:R8)+SUM(G14:Q14)</f>
        <v>2324.9667213188386</v>
      </c>
      <c r="G8" s="474"/>
      <c r="H8" s="474"/>
      <c r="I8" s="474"/>
      <c r="J8" s="474">
        <f>'2总成本估算表'!I11</f>
        <v>95.687999999999988</v>
      </c>
      <c r="K8" s="474">
        <f>'2总成本估算表'!J11</f>
        <v>97.601759999999985</v>
      </c>
      <c r="L8" s="474">
        <f>'2总成本估算表'!K11</f>
        <v>99.553795199999982</v>
      </c>
      <c r="M8" s="474">
        <f>'2总成本估算表'!L11</f>
        <v>101.54487110399998</v>
      </c>
      <c r="N8" s="474">
        <f>'2总成本估算表'!M11</f>
        <v>103.57576852607998</v>
      </c>
      <c r="O8" s="474">
        <f>'2总成本估算表'!N11</f>
        <v>105.64728389660158</v>
      </c>
      <c r="P8" s="474">
        <f>'2总成本估算表'!O11</f>
        <v>107.76022957453361</v>
      </c>
      <c r="Q8" s="474">
        <f>'2总成本估算表'!P11</f>
        <v>109.91543416602428</v>
      </c>
      <c r="R8" s="474">
        <f>'2总成本估算表'!Q11</f>
        <v>112.11374284934477</v>
      </c>
    </row>
    <row r="9" spans="1:29" ht="24.9" customHeight="1">
      <c r="A9" s="471"/>
      <c r="B9" s="470">
        <v>3</v>
      </c>
      <c r="C9" s="472" t="s">
        <v>110</v>
      </c>
      <c r="D9" s="475"/>
      <c r="E9" s="470"/>
      <c r="F9" s="474">
        <f t="shared" ref="F9:F10" si="1">SUM(G9:R9)+SUM(G15:Q15)</f>
        <v>26755.745982988468</v>
      </c>
      <c r="G9" s="474"/>
      <c r="H9" s="474"/>
      <c r="I9" s="474"/>
      <c r="J9" s="474">
        <f>'3使用者付费收入'!H13</f>
        <v>1158.96333</v>
      </c>
      <c r="K9" s="474">
        <f>'3使用者付费收入'!I13</f>
        <v>1158.96333</v>
      </c>
      <c r="L9" s="474">
        <f>'3使用者付费收入'!J13</f>
        <v>1158.96333</v>
      </c>
      <c r="M9" s="474">
        <f>'3使用者付费收入'!K13</f>
        <v>1216.9114965000001</v>
      </c>
      <c r="N9" s="474">
        <f>'3使用者付费收入'!L13</f>
        <v>1216.9114965000001</v>
      </c>
      <c r="O9" s="474">
        <f>'3使用者付费收入'!M13</f>
        <v>1216.9114965000001</v>
      </c>
      <c r="P9" s="474">
        <f>'3使用者付费收入'!N13</f>
        <v>1277.7570713250002</v>
      </c>
      <c r="Q9" s="474">
        <f>'3使用者付费收入'!O13</f>
        <v>1277.7570713250002</v>
      </c>
      <c r="R9" s="474">
        <f>'3使用者付费收入'!P13</f>
        <v>1277.7570713250002</v>
      </c>
    </row>
    <row r="10" spans="1:29" ht="24.9" customHeight="1">
      <c r="A10" s="471"/>
      <c r="B10" s="470">
        <v>4</v>
      </c>
      <c r="C10" s="472" t="s">
        <v>111</v>
      </c>
      <c r="D10" s="475"/>
      <c r="E10" s="470"/>
      <c r="F10" s="474">
        <f t="shared" ca="1" si="1"/>
        <v>41890.098540518506</v>
      </c>
      <c r="G10" s="474"/>
      <c r="H10" s="474"/>
      <c r="I10" s="474"/>
      <c r="J10" s="474">
        <f t="shared" ref="J10:R10" ca="1" si="2">J7+J8-J9</f>
        <v>2252.7685601094067</v>
      </c>
      <c r="K10" s="474">
        <f t="shared" ca="1" si="2"/>
        <v>2254.6823201094066</v>
      </c>
      <c r="L10" s="474">
        <f t="shared" ca="1" si="2"/>
        <v>2256.6343553094066</v>
      </c>
      <c r="M10" s="474">
        <f t="shared" ca="1" si="2"/>
        <v>2200.6772647134067</v>
      </c>
      <c r="N10" s="474">
        <f t="shared" ca="1" si="2"/>
        <v>2202.7081621354864</v>
      </c>
      <c r="O10" s="474">
        <f t="shared" ca="1" si="2"/>
        <v>2204.7796775060078</v>
      </c>
      <c r="P10" s="474">
        <f t="shared" ca="1" si="2"/>
        <v>2146.0470483589402</v>
      </c>
      <c r="Q10" s="474">
        <f t="shared" ca="1" si="2"/>
        <v>2148.2022529504306</v>
      </c>
      <c r="R10" s="474">
        <f t="shared" ca="1" si="2"/>
        <v>2150.4005616337513</v>
      </c>
      <c r="S10" s="476">
        <f ca="1">G16</f>
        <v>2088.7549829244881</v>
      </c>
      <c r="T10" s="476">
        <f t="shared" ref="T10:AC10" ca="1" si="3">H16</f>
        <v>2091.0421032786144</v>
      </c>
      <c r="U10" s="476">
        <f t="shared" ca="1" si="3"/>
        <v>2093.3749660398244</v>
      </c>
      <c r="V10" s="476">
        <f t="shared" ca="1" si="3"/>
        <v>2028.6722398116947</v>
      </c>
      <c r="W10" s="476">
        <f t="shared" ca="1" si="3"/>
        <v>2031.0993502284566</v>
      </c>
      <c r="X10" s="476">
        <f t="shared" ca="1" si="3"/>
        <v>2033.5750028535538</v>
      </c>
      <c r="Y10" s="476">
        <f t="shared" ca="1" si="3"/>
        <v>1965.6638099743625</v>
      </c>
      <c r="Z10" s="476">
        <f t="shared" ca="1" si="3"/>
        <v>1968.2394789655134</v>
      </c>
      <c r="AA10" s="476">
        <f t="shared" ca="1" si="3"/>
        <v>1970.8666613364878</v>
      </c>
      <c r="AB10" s="476">
        <f t="shared" ca="1" si="3"/>
        <v>1899.588210870251</v>
      </c>
      <c r="AC10" s="476">
        <f t="shared" ca="1" si="3"/>
        <v>1902.3215314090128</v>
      </c>
    </row>
    <row r="11" spans="1:29" ht="24.9" customHeight="1">
      <c r="A11" s="471"/>
      <c r="B11" s="573" t="s">
        <v>0</v>
      </c>
      <c r="C11" s="573" t="s">
        <v>106</v>
      </c>
      <c r="D11" s="574" t="s">
        <v>107</v>
      </c>
      <c r="E11" s="575"/>
      <c r="F11" s="573" t="s">
        <v>6</v>
      </c>
      <c r="G11" s="567" t="s">
        <v>579</v>
      </c>
      <c r="H11" s="568"/>
      <c r="I11" s="568"/>
      <c r="J11" s="568"/>
      <c r="K11" s="568"/>
      <c r="L11" s="568"/>
      <c r="M11" s="568"/>
      <c r="N11" s="568"/>
      <c r="O11" s="568"/>
      <c r="P11" s="569"/>
      <c r="Q11" s="474"/>
      <c r="R11" s="474"/>
    </row>
    <row r="12" spans="1:29" ht="24.9" customHeight="1">
      <c r="A12" s="471"/>
      <c r="B12" s="573"/>
      <c r="C12" s="573"/>
      <c r="D12" s="576"/>
      <c r="E12" s="577"/>
      <c r="F12" s="573"/>
      <c r="G12" s="477">
        <f>I6+10</f>
        <v>13</v>
      </c>
      <c r="H12" s="477">
        <f>G12+1</f>
        <v>14</v>
      </c>
      <c r="I12" s="477">
        <f t="shared" ref="I12:Q12" si="4">H12+1</f>
        <v>15</v>
      </c>
      <c r="J12" s="477">
        <f t="shared" si="4"/>
        <v>16</v>
      </c>
      <c r="K12" s="477">
        <f t="shared" si="4"/>
        <v>17</v>
      </c>
      <c r="L12" s="477">
        <f t="shared" si="4"/>
        <v>18</v>
      </c>
      <c r="M12" s="477">
        <f t="shared" si="4"/>
        <v>19</v>
      </c>
      <c r="N12" s="477">
        <f t="shared" si="4"/>
        <v>20</v>
      </c>
      <c r="O12" s="477">
        <f t="shared" si="4"/>
        <v>21</v>
      </c>
      <c r="P12" s="477">
        <f t="shared" si="4"/>
        <v>22</v>
      </c>
      <c r="Q12" s="477">
        <f t="shared" si="4"/>
        <v>23</v>
      </c>
      <c r="R12" s="474"/>
    </row>
    <row r="13" spans="1:29" ht="32.25" customHeight="1">
      <c r="A13" s="471"/>
      <c r="B13" s="470">
        <v>1</v>
      </c>
      <c r="C13" s="472" t="s">
        <v>108</v>
      </c>
      <c r="D13" s="473"/>
      <c r="E13" s="478"/>
      <c r="F13" s="474">
        <f ca="1">F7</f>
        <v>66320.87780218813</v>
      </c>
      <c r="G13" s="474">
        <f ca="1">R7</f>
        <v>3316.0438901094067</v>
      </c>
      <c r="H13" s="474">
        <f t="shared" ref="H13:Q13" ca="1" si="5">G13</f>
        <v>3316.0438901094067</v>
      </c>
      <c r="I13" s="474">
        <f t="shared" ca="1" si="5"/>
        <v>3316.0438901094067</v>
      </c>
      <c r="J13" s="474">
        <f t="shared" ca="1" si="5"/>
        <v>3316.0438901094067</v>
      </c>
      <c r="K13" s="474">
        <f t="shared" ca="1" si="5"/>
        <v>3316.0438901094067</v>
      </c>
      <c r="L13" s="474">
        <f t="shared" ca="1" si="5"/>
        <v>3316.0438901094067</v>
      </c>
      <c r="M13" s="474">
        <f t="shared" ca="1" si="5"/>
        <v>3316.0438901094067</v>
      </c>
      <c r="N13" s="474">
        <f t="shared" ca="1" si="5"/>
        <v>3316.0438901094067</v>
      </c>
      <c r="O13" s="474">
        <f t="shared" ca="1" si="5"/>
        <v>3316.0438901094067</v>
      </c>
      <c r="P13" s="474">
        <f t="shared" ca="1" si="5"/>
        <v>3316.0438901094067</v>
      </c>
      <c r="Q13" s="474">
        <f t="shared" ca="1" si="5"/>
        <v>3316.0438901094067</v>
      </c>
      <c r="R13" s="474"/>
    </row>
    <row r="14" spans="1:29" ht="24.9" customHeight="1">
      <c r="A14" s="471"/>
      <c r="B14" s="470">
        <v>2</v>
      </c>
      <c r="C14" s="472" t="s">
        <v>502</v>
      </c>
      <c r="D14" s="475"/>
      <c r="E14" s="470"/>
      <c r="F14" s="474">
        <f t="shared" ref="F14:F16" si="6">F8</f>
        <v>2324.9667213188386</v>
      </c>
      <c r="G14" s="474">
        <f>'2总成本估算表'!R11</f>
        <v>114.35601770633167</v>
      </c>
      <c r="H14" s="474">
        <f>'2总成本估算表'!S11</f>
        <v>116.64313806045831</v>
      </c>
      <c r="I14" s="474">
        <f>'2总成本估算表'!T11</f>
        <v>118.97600082166748</v>
      </c>
      <c r="J14" s="474">
        <f>'2总成本估算表'!U11</f>
        <v>121.35552083810083</v>
      </c>
      <c r="K14" s="474">
        <f>'2总成本估算表'!V11</f>
        <v>123.78263125486285</v>
      </c>
      <c r="L14" s="474">
        <f>'2总成本估算表'!W11</f>
        <v>126.2582838799601</v>
      </c>
      <c r="M14" s="474">
        <f>'2总成本估算表'!X11</f>
        <v>128.78344955755929</v>
      </c>
      <c r="N14" s="474">
        <f>'2总成本估算表'!Y11</f>
        <v>131.35911854871048</v>
      </c>
      <c r="O14" s="474">
        <f>'2总成本估算表'!Z11</f>
        <v>133.98630091968471</v>
      </c>
      <c r="P14" s="474">
        <f>'2总成本估算表'!AA11</f>
        <v>136.6660269380784</v>
      </c>
      <c r="Q14" s="474">
        <f>'2总成本估算表'!AB11</f>
        <v>139.39934747683998</v>
      </c>
      <c r="R14" s="474"/>
    </row>
    <row r="15" spans="1:29" ht="24.9" customHeight="1">
      <c r="A15" s="471"/>
      <c r="B15" s="470">
        <v>3</v>
      </c>
      <c r="C15" s="472" t="s">
        <v>110</v>
      </c>
      <c r="D15" s="475"/>
      <c r="E15" s="470"/>
      <c r="F15" s="474">
        <f t="shared" si="6"/>
        <v>26755.745982988468</v>
      </c>
      <c r="G15" s="474">
        <f>'3使用者付费收入'!Q13</f>
        <v>1341.6449248912502</v>
      </c>
      <c r="H15" s="474">
        <f>'3使用者付费收入'!R13</f>
        <v>1341.6449248912502</v>
      </c>
      <c r="I15" s="474">
        <f>'3使用者付费收入'!S13</f>
        <v>1341.6449248912502</v>
      </c>
      <c r="J15" s="474">
        <f>'3使用者付费收入'!T13</f>
        <v>1408.7271711358128</v>
      </c>
      <c r="K15" s="474">
        <f>'3使用者付费收入'!U13</f>
        <v>1408.7271711358128</v>
      </c>
      <c r="L15" s="474">
        <f>'3使用者付费收入'!V13</f>
        <v>1408.7271711358128</v>
      </c>
      <c r="M15" s="474">
        <f>'3使用者付费收入'!W13</f>
        <v>1479.1635296926036</v>
      </c>
      <c r="N15" s="474">
        <f>'3使用者付费收入'!X13</f>
        <v>1479.1635296926036</v>
      </c>
      <c r="O15" s="474">
        <f>'3使用者付费收入'!Y13</f>
        <v>1479.1635296926036</v>
      </c>
      <c r="P15" s="474">
        <f>'3使用者付费收入'!Z13</f>
        <v>1553.1217061772338</v>
      </c>
      <c r="Q15" s="474">
        <f>'3使用者付费收入'!AA13</f>
        <v>1553.1217061772338</v>
      </c>
      <c r="R15" s="474"/>
    </row>
    <row r="16" spans="1:29" ht="24.9" customHeight="1">
      <c r="A16" s="471"/>
      <c r="B16" s="470">
        <v>4</v>
      </c>
      <c r="C16" s="472" t="s">
        <v>111</v>
      </c>
      <c r="D16" s="475"/>
      <c r="E16" s="470"/>
      <c r="F16" s="474">
        <f t="shared" ca="1" si="6"/>
        <v>41890.098540518506</v>
      </c>
      <c r="G16" s="474">
        <f t="shared" ref="G16:Q16" ca="1" si="7">G13+G14-G15</f>
        <v>2088.7549829244881</v>
      </c>
      <c r="H16" s="474">
        <f t="shared" ca="1" si="7"/>
        <v>2091.0421032786144</v>
      </c>
      <c r="I16" s="474">
        <f t="shared" ca="1" si="7"/>
        <v>2093.3749660398244</v>
      </c>
      <c r="J16" s="474">
        <f t="shared" ca="1" si="7"/>
        <v>2028.6722398116947</v>
      </c>
      <c r="K16" s="474">
        <f t="shared" ca="1" si="7"/>
        <v>2031.0993502284566</v>
      </c>
      <c r="L16" s="474">
        <f t="shared" ca="1" si="7"/>
        <v>2033.5750028535538</v>
      </c>
      <c r="M16" s="474">
        <f t="shared" ca="1" si="7"/>
        <v>1965.6638099743625</v>
      </c>
      <c r="N16" s="474">
        <f t="shared" ca="1" si="7"/>
        <v>1968.2394789655134</v>
      </c>
      <c r="O16" s="474">
        <f t="shared" ca="1" si="7"/>
        <v>1970.8666613364878</v>
      </c>
      <c r="P16" s="474">
        <f t="shared" ca="1" si="7"/>
        <v>1899.588210870251</v>
      </c>
      <c r="Q16" s="474">
        <f t="shared" ca="1" si="7"/>
        <v>1902.3215314090128</v>
      </c>
      <c r="R16" s="474"/>
    </row>
    <row r="17" spans="2:18" ht="24.9" customHeight="1">
      <c r="B17" s="572" t="s">
        <v>564</v>
      </c>
      <c r="C17" s="572"/>
      <c r="D17" s="578" t="s">
        <v>577</v>
      </c>
      <c r="E17" s="580">
        <v>3.9E-2</v>
      </c>
      <c r="F17" s="570">
        <f ca="1">NPV(E17,G10:AC10)</f>
        <v>29050.833290026807</v>
      </c>
      <c r="G17" s="570"/>
      <c r="H17" s="570"/>
      <c r="I17" s="570"/>
      <c r="J17" s="570"/>
      <c r="K17" s="570"/>
      <c r="L17" s="570"/>
      <c r="M17" s="570"/>
      <c r="N17" s="570"/>
      <c r="O17" s="570"/>
      <c r="P17" s="570"/>
      <c r="Q17" s="570"/>
      <c r="R17" s="570"/>
    </row>
    <row r="18" spans="2:18" ht="24.9" customHeight="1">
      <c r="B18" s="572"/>
      <c r="C18" s="572"/>
      <c r="D18" s="579"/>
      <c r="E18" s="581"/>
      <c r="F18" s="570"/>
      <c r="G18" s="570"/>
      <c r="H18" s="570"/>
      <c r="I18" s="570"/>
      <c r="J18" s="570"/>
      <c r="K18" s="570"/>
      <c r="L18" s="570"/>
      <c r="M18" s="570"/>
      <c r="N18" s="570"/>
      <c r="O18" s="570"/>
      <c r="P18" s="570"/>
      <c r="Q18" s="570"/>
      <c r="R18" s="570"/>
    </row>
    <row r="19" spans="2:18" ht="35.25" customHeight="1">
      <c r="B19" s="571" t="s">
        <v>585</v>
      </c>
      <c r="C19" s="571"/>
      <c r="D19" s="571"/>
      <c r="E19" s="571"/>
      <c r="F19" s="571"/>
      <c r="G19" s="571"/>
      <c r="H19" s="571"/>
      <c r="I19" s="571"/>
      <c r="J19" s="571"/>
      <c r="K19" s="571"/>
      <c r="L19" s="571"/>
      <c r="M19" s="571"/>
      <c r="N19" s="571"/>
      <c r="O19" s="571"/>
      <c r="P19" s="571"/>
      <c r="Q19" s="571"/>
      <c r="R19" s="571"/>
    </row>
    <row r="20" spans="2:18" ht="24.9" customHeight="1"/>
    <row r="21" spans="2:18" ht="24.9" customHeight="1">
      <c r="G21" s="479"/>
    </row>
    <row r="22" spans="2:18" ht="24.9" customHeight="1">
      <c r="C22" s="480"/>
      <c r="D22" s="480"/>
    </row>
    <row r="23" spans="2:18" ht="24.9"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sheetData>
  <sheetProtection algorithmName="SHA-512" hashValue="XyMlao8CTeL7YPKrEkFFw4NfX9xL9iogtGDhXhDHoYfFis23HbKkiERnF5T12wHzigUSLDlNB7wtWSXXO1whlQ==" saltValue="WAkERsIl5z/mKL7IomFq3A==" spinCount="100000" sheet="1" objects="1" scenarios="1"/>
  <mergeCells count="16">
    <mergeCell ref="J5:R5"/>
    <mergeCell ref="B5:B6"/>
    <mergeCell ref="C5:C6"/>
    <mergeCell ref="F5:F6"/>
    <mergeCell ref="G5:I5"/>
    <mergeCell ref="D5:E6"/>
    <mergeCell ref="G11:P11"/>
    <mergeCell ref="F17:R18"/>
    <mergeCell ref="B19:R19"/>
    <mergeCell ref="B17:C18"/>
    <mergeCell ref="B11:B12"/>
    <mergeCell ref="C11:C12"/>
    <mergeCell ref="D11:E12"/>
    <mergeCell ref="F11:F12"/>
    <mergeCell ref="D17:D18"/>
    <mergeCell ref="E17:E18"/>
  </mergeCells>
  <phoneticPr fontId="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showGridLines="0" zoomScale="90" zoomScaleNormal="90" workbookViewId="0">
      <selection activeCell="E21" sqref="E21"/>
    </sheetView>
  </sheetViews>
  <sheetFormatPr defaultColWidth="11" defaultRowHeight="15.6"/>
  <cols>
    <col min="3" max="3" width="21.6328125" bestFit="1" customWidth="1"/>
    <col min="5" max="5" width="13.90625" bestFit="1" customWidth="1"/>
    <col min="6" max="13" width="12.453125" bestFit="1" customWidth="1"/>
  </cols>
  <sheetData>
    <row r="1" spans="2:11" ht="24.9" customHeight="1"/>
    <row r="2" spans="2:11" ht="24.9" customHeight="1">
      <c r="B2" s="585" t="s">
        <v>0</v>
      </c>
      <c r="C2" s="585" t="s">
        <v>106</v>
      </c>
      <c r="D2" s="585" t="s">
        <v>107</v>
      </c>
      <c r="E2" s="585" t="s">
        <v>6</v>
      </c>
      <c r="F2" s="586" t="s">
        <v>496</v>
      </c>
      <c r="G2" s="587"/>
      <c r="H2" s="588"/>
      <c r="I2" s="586" t="s">
        <v>497</v>
      </c>
      <c r="J2" s="587"/>
      <c r="K2" s="588"/>
    </row>
    <row r="3" spans="2:11" ht="24.9" customHeight="1">
      <c r="B3" s="585"/>
      <c r="C3" s="585"/>
      <c r="D3" s="585"/>
      <c r="E3" s="585"/>
      <c r="F3" s="172">
        <v>1</v>
      </c>
      <c r="G3" s="172">
        <v>2</v>
      </c>
      <c r="H3" s="174">
        <v>3</v>
      </c>
      <c r="I3" s="174">
        <v>4</v>
      </c>
      <c r="J3" s="174">
        <v>5</v>
      </c>
      <c r="K3" s="174">
        <v>6</v>
      </c>
    </row>
    <row r="4" spans="2:11" ht="24.9" customHeight="1">
      <c r="B4" s="172">
        <v>1</v>
      </c>
      <c r="C4" s="173" t="s">
        <v>108</v>
      </c>
      <c r="D4" s="74">
        <f>'5政府补贴测算'!E7</f>
        <v>0</v>
      </c>
      <c r="E4" s="75">
        <f ca="1">'5政府补贴测算'!F7</f>
        <v>66320.87780218813</v>
      </c>
      <c r="F4" s="75">
        <f>'5政府补贴测算'!G7</f>
        <v>0</v>
      </c>
      <c r="G4" s="75">
        <f>'5政府补贴测算'!H7</f>
        <v>0</v>
      </c>
      <c r="H4" s="75">
        <f>'5政府补贴测算'!I7</f>
        <v>0</v>
      </c>
      <c r="I4" s="75">
        <f ca="1">'5政府补贴测算'!J7</f>
        <v>3316.0438901094067</v>
      </c>
      <c r="J4" s="75">
        <f ca="1">'5政府补贴测算'!K7</f>
        <v>3316.0438901094067</v>
      </c>
      <c r="K4" s="75">
        <f ca="1">'5政府补贴测算'!L7</f>
        <v>3316.0438901094067</v>
      </c>
    </row>
    <row r="5" spans="2:11" ht="24.9" customHeight="1">
      <c r="B5" s="172">
        <v>2</v>
      </c>
      <c r="C5" s="173" t="s">
        <v>109</v>
      </c>
      <c r="D5" s="172"/>
      <c r="E5" s="75">
        <f>'5政府补贴测算'!F8</f>
        <v>2324.9667213188386</v>
      </c>
      <c r="F5" s="75">
        <f>'5政府补贴测算'!G8</f>
        <v>0</v>
      </c>
      <c r="G5" s="75">
        <f>'5政府补贴测算'!H8</f>
        <v>0</v>
      </c>
      <c r="H5" s="75">
        <f>'5政府补贴测算'!I8</f>
        <v>0</v>
      </c>
      <c r="I5" s="75">
        <f>'5政府补贴测算'!J8</f>
        <v>95.687999999999988</v>
      </c>
      <c r="J5" s="75">
        <f>'5政府补贴测算'!K8</f>
        <v>97.601759999999985</v>
      </c>
      <c r="K5" s="75">
        <f>'5政府补贴测算'!L8</f>
        <v>99.553795199999982</v>
      </c>
    </row>
    <row r="6" spans="2:11" ht="24.9" customHeight="1">
      <c r="B6" s="172">
        <v>3</v>
      </c>
      <c r="C6" s="173" t="s">
        <v>110</v>
      </c>
      <c r="D6" s="172"/>
      <c r="E6" s="75">
        <f>'5政府补贴测算'!F9</f>
        <v>26755.745982988468</v>
      </c>
      <c r="F6" s="75">
        <f>'5政府补贴测算'!G9</f>
        <v>0</v>
      </c>
      <c r="G6" s="75">
        <f>'5政府补贴测算'!H9</f>
        <v>0</v>
      </c>
      <c r="H6" s="75">
        <f>'5政府补贴测算'!I9</f>
        <v>0</v>
      </c>
      <c r="I6" s="75">
        <f>'5政府补贴测算'!J9</f>
        <v>1158.96333</v>
      </c>
      <c r="J6" s="75">
        <f>'5政府补贴测算'!K9</f>
        <v>1158.96333</v>
      </c>
      <c r="K6" s="75">
        <f>'5政府补贴测算'!L9</f>
        <v>1158.96333</v>
      </c>
    </row>
    <row r="7" spans="2:11" ht="24.9" customHeight="1">
      <c r="B7" s="172">
        <v>4</v>
      </c>
      <c r="C7" s="173" t="s">
        <v>111</v>
      </c>
      <c r="D7" s="172"/>
      <c r="E7" s="75">
        <f ca="1">'5政府补贴测算'!F10</f>
        <v>41890.098540518506</v>
      </c>
      <c r="F7" s="75">
        <f>'5政府补贴测算'!G10</f>
        <v>0</v>
      </c>
      <c r="G7" s="75">
        <f>'5政府补贴测算'!H10</f>
        <v>0</v>
      </c>
      <c r="H7" s="75">
        <f>'5政府补贴测算'!I10</f>
        <v>0</v>
      </c>
      <c r="I7" s="75">
        <f ca="1">'5政府补贴测算'!J10</f>
        <v>2252.7685601094067</v>
      </c>
      <c r="J7" s="75">
        <f ca="1">'5政府补贴测算'!K10</f>
        <v>2254.6823201094066</v>
      </c>
      <c r="K7" s="75">
        <f ca="1">'5政府补贴测算'!L10</f>
        <v>2256.6343553094066</v>
      </c>
    </row>
    <row r="8" spans="2:11" ht="24.9" customHeight="1"/>
    <row r="9" spans="2:11" ht="24.9" customHeight="1">
      <c r="B9" s="585" t="s">
        <v>0</v>
      </c>
      <c r="C9" s="585" t="s">
        <v>106</v>
      </c>
      <c r="D9" s="585" t="s">
        <v>107</v>
      </c>
      <c r="E9" s="585" t="s">
        <v>6</v>
      </c>
      <c r="F9" s="586" t="s">
        <v>497</v>
      </c>
      <c r="G9" s="587"/>
      <c r="H9" s="587"/>
      <c r="I9" s="587"/>
      <c r="J9" s="587"/>
      <c r="K9" s="588"/>
    </row>
    <row r="10" spans="2:11" ht="24.9" customHeight="1">
      <c r="B10" s="585"/>
      <c r="C10" s="585"/>
      <c r="D10" s="585"/>
      <c r="E10" s="585"/>
      <c r="F10" s="174">
        <v>7</v>
      </c>
      <c r="G10" s="172">
        <v>8</v>
      </c>
      <c r="H10" s="172">
        <v>9</v>
      </c>
      <c r="I10" s="174">
        <v>10</v>
      </c>
      <c r="J10" s="174">
        <v>11</v>
      </c>
      <c r="K10" s="174">
        <v>12</v>
      </c>
    </row>
    <row r="11" spans="2:11" ht="24.9" customHeight="1">
      <c r="B11" s="172">
        <v>1</v>
      </c>
      <c r="C11" s="173" t="s">
        <v>108</v>
      </c>
      <c r="D11" s="74">
        <f>D4</f>
        <v>0</v>
      </c>
      <c r="E11" s="75">
        <f ca="1">E4</f>
        <v>66320.87780218813</v>
      </c>
      <c r="F11" s="75">
        <f ca="1">'5政府补贴测算'!M7</f>
        <v>3316.0438901094067</v>
      </c>
      <c r="G11" s="75">
        <f ca="1">'5政府补贴测算'!N7</f>
        <v>3316.0438901094067</v>
      </c>
      <c r="H11" s="76">
        <f ca="1">'5政府补贴测算'!O7</f>
        <v>3316.0438901094067</v>
      </c>
      <c r="I11" s="76">
        <f ca="1">'5政府补贴测算'!P7</f>
        <v>3316.0438901094067</v>
      </c>
      <c r="J11" s="76">
        <f ca="1">'5政府补贴测算'!Q7</f>
        <v>3316.0438901094067</v>
      </c>
      <c r="K11" s="76">
        <f ca="1">'5政府补贴测算'!R7</f>
        <v>3316.0438901094067</v>
      </c>
    </row>
    <row r="12" spans="2:11" ht="24.9" customHeight="1">
      <c r="B12" s="172">
        <v>2</v>
      </c>
      <c r="C12" s="173" t="s">
        <v>109</v>
      </c>
      <c r="D12" s="172"/>
      <c r="E12" s="75">
        <f t="shared" ref="E12:E14" si="0">E5</f>
        <v>2324.9667213188386</v>
      </c>
      <c r="F12" s="75">
        <f>'5政府补贴测算'!M8</f>
        <v>101.54487110399998</v>
      </c>
      <c r="G12" s="75">
        <f>'5政府补贴测算'!N8</f>
        <v>103.57576852607998</v>
      </c>
      <c r="H12" s="76">
        <f>'5政府补贴测算'!O8</f>
        <v>105.64728389660158</v>
      </c>
      <c r="I12" s="76">
        <f>'5政府补贴测算'!P8</f>
        <v>107.76022957453361</v>
      </c>
      <c r="J12" s="76">
        <f>'5政府补贴测算'!Q8</f>
        <v>109.91543416602428</v>
      </c>
      <c r="K12" s="76">
        <f>'5政府补贴测算'!R8</f>
        <v>112.11374284934477</v>
      </c>
    </row>
    <row r="13" spans="2:11" ht="24.9" customHeight="1">
      <c r="B13" s="172">
        <v>3</v>
      </c>
      <c r="C13" s="173" t="s">
        <v>110</v>
      </c>
      <c r="D13" s="172"/>
      <c r="E13" s="75">
        <f t="shared" si="0"/>
        <v>26755.745982988468</v>
      </c>
      <c r="F13" s="75">
        <f>'5政府补贴测算'!M9</f>
        <v>1216.9114965000001</v>
      </c>
      <c r="G13" s="75">
        <f>'5政府补贴测算'!N9</f>
        <v>1216.9114965000001</v>
      </c>
      <c r="H13" s="76">
        <f>'5政府补贴测算'!O9</f>
        <v>1216.9114965000001</v>
      </c>
      <c r="I13" s="76">
        <f>'5政府补贴测算'!P9</f>
        <v>1277.7570713250002</v>
      </c>
      <c r="J13" s="76">
        <f>'5政府补贴测算'!Q9</f>
        <v>1277.7570713250002</v>
      </c>
      <c r="K13" s="76">
        <f>'5政府补贴测算'!R9</f>
        <v>1277.7570713250002</v>
      </c>
    </row>
    <row r="14" spans="2:11" ht="24.9" customHeight="1">
      <c r="B14" s="172">
        <v>4</v>
      </c>
      <c r="C14" s="173" t="s">
        <v>111</v>
      </c>
      <c r="D14" s="172"/>
      <c r="E14" s="75">
        <f t="shared" ca="1" si="0"/>
        <v>41890.098540518506</v>
      </c>
      <c r="F14" s="75">
        <f ca="1">'5政府补贴测算'!M10</f>
        <v>2200.6772647134067</v>
      </c>
      <c r="G14" s="75">
        <f ca="1">'5政府补贴测算'!N10</f>
        <v>2202.7081621354864</v>
      </c>
      <c r="H14" s="76">
        <f ca="1">'5政府补贴测算'!O10</f>
        <v>2204.7796775060078</v>
      </c>
      <c r="I14" s="76">
        <f ca="1">'5政府补贴测算'!P10</f>
        <v>2146.0470483589402</v>
      </c>
      <c r="J14" s="76">
        <f ca="1">'5政府补贴测算'!Q10</f>
        <v>2148.2022529504306</v>
      </c>
      <c r="K14" s="76">
        <f ca="1">'5政府补贴测算'!R10</f>
        <v>2150.4005616337513</v>
      </c>
    </row>
    <row r="15" spans="2:11" ht="24.9" customHeight="1"/>
    <row r="16" spans="2:11" ht="24.9" customHeight="1">
      <c r="B16" s="585" t="s">
        <v>0</v>
      </c>
      <c r="C16" s="585" t="s">
        <v>106</v>
      </c>
      <c r="D16" s="585" t="s">
        <v>107</v>
      </c>
      <c r="E16" s="585" t="s">
        <v>6</v>
      </c>
      <c r="F16" s="585" t="s">
        <v>497</v>
      </c>
      <c r="G16" s="585"/>
      <c r="H16" s="585"/>
      <c r="I16" s="585"/>
      <c r="J16" s="585"/>
      <c r="K16" s="585"/>
    </row>
    <row r="17" spans="2:11" ht="24.9" customHeight="1">
      <c r="B17" s="585"/>
      <c r="C17" s="585"/>
      <c r="D17" s="585"/>
      <c r="E17" s="585"/>
      <c r="F17" s="174">
        <v>13</v>
      </c>
      <c r="G17" s="174">
        <v>14</v>
      </c>
      <c r="H17" s="174">
        <v>15</v>
      </c>
      <c r="I17" s="172">
        <v>16</v>
      </c>
      <c r="J17" s="172">
        <v>17</v>
      </c>
      <c r="K17" s="292">
        <v>18</v>
      </c>
    </row>
    <row r="18" spans="2:11" ht="24.9" customHeight="1">
      <c r="B18" s="232">
        <v>1</v>
      </c>
      <c r="C18" s="233" t="s">
        <v>108</v>
      </c>
      <c r="D18" s="74">
        <f>D4</f>
        <v>0</v>
      </c>
      <c r="E18" s="75">
        <f ca="1">E11</f>
        <v>66320.87780218813</v>
      </c>
      <c r="F18" s="76">
        <f ca="1">'5政府补贴测算'!G13</f>
        <v>3316.0438901094067</v>
      </c>
      <c r="G18" s="76">
        <f ca="1">'5政府补贴测算'!H13</f>
        <v>3316.0438901094067</v>
      </c>
      <c r="H18" s="76">
        <f ca="1">'5政府补贴测算'!I13</f>
        <v>3316.0438901094067</v>
      </c>
      <c r="I18" s="76">
        <f ca="1">'5政府补贴测算'!J13</f>
        <v>3316.0438901094067</v>
      </c>
      <c r="J18" s="76">
        <f ca="1">'5政府补贴测算'!K13</f>
        <v>3316.0438901094067</v>
      </c>
      <c r="K18" s="76">
        <f ca="1">'5政府补贴测算'!L13</f>
        <v>3316.0438901094067</v>
      </c>
    </row>
    <row r="19" spans="2:11" ht="24.9" customHeight="1">
      <c r="B19" s="232">
        <v>2</v>
      </c>
      <c r="C19" s="233" t="s">
        <v>109</v>
      </c>
      <c r="D19" s="232"/>
      <c r="E19" s="75">
        <f t="shared" ref="E19:E21" si="1">E12</f>
        <v>2324.9667213188386</v>
      </c>
      <c r="F19" s="76">
        <f>'5政府补贴测算'!G14</f>
        <v>114.35601770633167</v>
      </c>
      <c r="G19" s="76">
        <f>'5政府补贴测算'!H14</f>
        <v>116.64313806045831</v>
      </c>
      <c r="H19" s="76">
        <f>'5政府补贴测算'!I14</f>
        <v>118.97600082166748</v>
      </c>
      <c r="I19" s="76">
        <f>'5政府补贴测算'!J14</f>
        <v>121.35552083810083</v>
      </c>
      <c r="J19" s="76">
        <f>'5政府补贴测算'!K14</f>
        <v>123.78263125486285</v>
      </c>
      <c r="K19" s="76">
        <f>'5政府补贴测算'!L14</f>
        <v>126.2582838799601</v>
      </c>
    </row>
    <row r="20" spans="2:11" ht="24.9" customHeight="1">
      <c r="B20" s="232">
        <v>3</v>
      </c>
      <c r="C20" s="233" t="s">
        <v>110</v>
      </c>
      <c r="D20" s="232"/>
      <c r="E20" s="75">
        <f t="shared" si="1"/>
        <v>26755.745982988468</v>
      </c>
      <c r="F20" s="76">
        <f>'5政府补贴测算'!G15</f>
        <v>1341.6449248912502</v>
      </c>
      <c r="G20" s="76">
        <f>'5政府补贴测算'!H15</f>
        <v>1341.6449248912502</v>
      </c>
      <c r="H20" s="76">
        <f>'5政府补贴测算'!I15</f>
        <v>1341.6449248912502</v>
      </c>
      <c r="I20" s="76">
        <f>'5政府补贴测算'!J15</f>
        <v>1408.7271711358128</v>
      </c>
      <c r="J20" s="76">
        <f>'5政府补贴测算'!K15</f>
        <v>1408.7271711358128</v>
      </c>
      <c r="K20" s="76">
        <f>'5政府补贴测算'!L15</f>
        <v>1408.7271711358128</v>
      </c>
    </row>
    <row r="21" spans="2:11" ht="24.9" customHeight="1">
      <c r="B21" s="232">
        <v>4</v>
      </c>
      <c r="C21" s="233" t="s">
        <v>111</v>
      </c>
      <c r="D21" s="232"/>
      <c r="E21" s="75">
        <f t="shared" ca="1" si="1"/>
        <v>41890.098540518506</v>
      </c>
      <c r="F21" s="76">
        <f ca="1">'5政府补贴测算'!G16</f>
        <v>2088.7549829244881</v>
      </c>
      <c r="G21" s="76">
        <f ca="1">'5政府补贴测算'!H16</f>
        <v>2091.0421032786144</v>
      </c>
      <c r="H21" s="76">
        <f ca="1">'5政府补贴测算'!I16</f>
        <v>2093.3749660398244</v>
      </c>
      <c r="I21" s="76">
        <f ca="1">'5政府补贴测算'!J16</f>
        <v>2028.6722398116947</v>
      </c>
      <c r="J21" s="76">
        <f ca="1">'5政府补贴测算'!K16</f>
        <v>2031.0993502284566</v>
      </c>
      <c r="K21" s="76">
        <f ca="1">'5政府补贴测算'!L16</f>
        <v>2033.5750028535538</v>
      </c>
    </row>
    <row r="22" spans="2:11" ht="24.9" customHeight="1"/>
    <row r="23" spans="2:11" ht="24.9" customHeight="1">
      <c r="B23" s="585" t="s">
        <v>0</v>
      </c>
      <c r="C23" s="585" t="s">
        <v>106</v>
      </c>
      <c r="D23" s="585" t="s">
        <v>107</v>
      </c>
      <c r="E23" s="585" t="s">
        <v>6</v>
      </c>
      <c r="F23" s="498" t="s">
        <v>497</v>
      </c>
      <c r="G23" s="498"/>
      <c r="H23" s="498"/>
      <c r="I23" s="498"/>
      <c r="J23" s="498"/>
    </row>
    <row r="24" spans="2:11" ht="24.9" customHeight="1">
      <c r="B24" s="585"/>
      <c r="C24" s="585"/>
      <c r="D24" s="585"/>
      <c r="E24" s="585"/>
      <c r="F24" s="334">
        <v>19</v>
      </c>
      <c r="G24" s="334">
        <v>20</v>
      </c>
      <c r="H24" s="334">
        <v>21</v>
      </c>
      <c r="I24" s="334">
        <v>22</v>
      </c>
      <c r="J24" s="334">
        <v>23</v>
      </c>
    </row>
    <row r="25" spans="2:11" ht="24.9" customHeight="1">
      <c r="B25" s="334">
        <v>1</v>
      </c>
      <c r="C25" s="335" t="s">
        <v>108</v>
      </c>
      <c r="D25" s="74">
        <f>D11</f>
        <v>0</v>
      </c>
      <c r="E25" s="75">
        <f ca="1">E18</f>
        <v>66320.87780218813</v>
      </c>
      <c r="F25" s="76">
        <f ca="1">'5政府补贴测算'!M13</f>
        <v>3316.0438901094067</v>
      </c>
      <c r="G25" s="76">
        <f ca="1">'5政府补贴测算'!N13</f>
        <v>3316.0438901094067</v>
      </c>
      <c r="H25" s="76">
        <f ca="1">'5政府补贴测算'!O13</f>
        <v>3316.0438901094067</v>
      </c>
      <c r="I25" s="76">
        <f ca="1">'5政府补贴测算'!P13</f>
        <v>3316.0438901094067</v>
      </c>
      <c r="J25" s="76">
        <f ca="1">'5政府补贴测算'!Q13</f>
        <v>3316.0438901094067</v>
      </c>
    </row>
    <row r="26" spans="2:11" ht="24.9" customHeight="1">
      <c r="B26" s="334">
        <v>2</v>
      </c>
      <c r="C26" s="335" t="s">
        <v>109</v>
      </c>
      <c r="D26" s="334"/>
      <c r="E26" s="75">
        <f t="shared" ref="E26:E28" si="2">E19</f>
        <v>2324.9667213188386</v>
      </c>
      <c r="F26" s="76">
        <f>'5政府补贴测算'!M14</f>
        <v>128.78344955755929</v>
      </c>
      <c r="G26" s="76">
        <f>'5政府补贴测算'!N14</f>
        <v>131.35911854871048</v>
      </c>
      <c r="H26" s="76">
        <f>'5政府补贴测算'!O14</f>
        <v>133.98630091968471</v>
      </c>
      <c r="I26" s="76">
        <f>'5政府补贴测算'!P14</f>
        <v>136.6660269380784</v>
      </c>
      <c r="J26" s="76">
        <f>'5政府补贴测算'!Q14</f>
        <v>139.39934747683998</v>
      </c>
    </row>
    <row r="27" spans="2:11" ht="24.9" customHeight="1">
      <c r="B27" s="334">
        <v>3</v>
      </c>
      <c r="C27" s="335" t="s">
        <v>110</v>
      </c>
      <c r="D27" s="334"/>
      <c r="E27" s="75">
        <f t="shared" si="2"/>
        <v>26755.745982988468</v>
      </c>
      <c r="F27" s="76">
        <f>'5政府补贴测算'!M15</f>
        <v>1479.1635296926036</v>
      </c>
      <c r="G27" s="76">
        <f>'5政府补贴测算'!N15</f>
        <v>1479.1635296926036</v>
      </c>
      <c r="H27" s="76">
        <f>'5政府补贴测算'!O15</f>
        <v>1479.1635296926036</v>
      </c>
      <c r="I27" s="76">
        <f>'5政府补贴测算'!P15</f>
        <v>1553.1217061772338</v>
      </c>
      <c r="J27" s="76">
        <f>'5政府补贴测算'!Q15</f>
        <v>1553.1217061772338</v>
      </c>
    </row>
    <row r="28" spans="2:11" ht="24.9" customHeight="1">
      <c r="B28" s="334">
        <v>4</v>
      </c>
      <c r="C28" s="335" t="s">
        <v>111</v>
      </c>
      <c r="D28" s="334"/>
      <c r="E28" s="75">
        <f t="shared" ca="1" si="2"/>
        <v>41890.098540518506</v>
      </c>
      <c r="F28" s="76">
        <f ca="1">'5政府补贴测算'!M16</f>
        <v>1965.6638099743625</v>
      </c>
      <c r="G28" s="76">
        <f ca="1">'5政府补贴测算'!N16</f>
        <v>1968.2394789655134</v>
      </c>
      <c r="H28" s="76">
        <f ca="1">'5政府补贴测算'!O16</f>
        <v>1970.8666613364878</v>
      </c>
      <c r="I28" s="76">
        <f ca="1">'5政府补贴测算'!P16</f>
        <v>1899.588210870251</v>
      </c>
      <c r="J28" s="76">
        <f ca="1">'5政府补贴测算'!Q16</f>
        <v>1902.3215314090128</v>
      </c>
    </row>
    <row r="29" spans="2:11" ht="24.9" customHeight="1"/>
    <row r="30" spans="2:11" ht="24.9" customHeight="1"/>
    <row r="31" spans="2:11" ht="24.9" customHeight="1"/>
    <row r="32" spans="2:11" ht="24.9" customHeight="1"/>
    <row r="33" ht="24.9" customHeight="1"/>
    <row r="34" ht="24.9" customHeight="1"/>
    <row r="35" ht="24.9" customHeight="1"/>
    <row r="36" ht="24.9" customHeight="1"/>
  </sheetData>
  <mergeCells count="21">
    <mergeCell ref="I2:K2"/>
    <mergeCell ref="F9:K9"/>
    <mergeCell ref="B16:B17"/>
    <mergeCell ref="C16:C17"/>
    <mergeCell ref="D16:D17"/>
    <mergeCell ref="E16:E17"/>
    <mergeCell ref="B2:B3"/>
    <mergeCell ref="C2:C3"/>
    <mergeCell ref="D2:D3"/>
    <mergeCell ref="E2:E3"/>
    <mergeCell ref="B9:B10"/>
    <mergeCell ref="C9:C10"/>
    <mergeCell ref="D9:D10"/>
    <mergeCell ref="E9:E10"/>
    <mergeCell ref="F16:K16"/>
    <mergeCell ref="F2:H2"/>
    <mergeCell ref="B23:B24"/>
    <mergeCell ref="C23:C24"/>
    <mergeCell ref="D23:D24"/>
    <mergeCell ref="E23:E24"/>
    <mergeCell ref="F23:J23"/>
  </mergeCells>
  <phoneticPr fontId="3" type="noConversion"/>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topLeftCell="A10" workbookViewId="0">
      <selection activeCell="D45" sqref="D45:H45"/>
    </sheetView>
  </sheetViews>
  <sheetFormatPr defaultColWidth="10.90625" defaultRowHeight="17.399999999999999"/>
  <cols>
    <col min="1" max="2" width="10.90625" style="28"/>
    <col min="3" max="3" width="64.6328125" style="28" bestFit="1" customWidth="1"/>
    <col min="4" max="4" width="15.6328125" style="28" customWidth="1"/>
    <col min="5" max="5" width="33.36328125" style="28" bestFit="1" customWidth="1"/>
    <col min="6" max="6" width="13.453125" style="28" customWidth="1"/>
    <col min="7" max="7" width="12.90625" style="28" customWidth="1"/>
    <col min="8" max="8" width="10.90625" style="28"/>
    <col min="9" max="9" width="26.90625" style="28" bestFit="1" customWidth="1"/>
    <col min="10" max="16384" width="10.90625" style="28"/>
  </cols>
  <sheetData>
    <row r="2" spans="2:9" ht="29.1" customHeight="1">
      <c r="B2" s="589" t="s">
        <v>112</v>
      </c>
      <c r="C2" s="589" t="s">
        <v>317</v>
      </c>
      <c r="D2" s="589"/>
      <c r="E2" s="589" t="s">
        <v>318</v>
      </c>
      <c r="F2" s="589"/>
      <c r="G2" s="589" t="s">
        <v>319</v>
      </c>
    </row>
    <row r="3" spans="2:9" ht="29.1" customHeight="1">
      <c r="B3" s="589"/>
      <c r="C3" s="115" t="s">
        <v>320</v>
      </c>
      <c r="D3" s="115" t="s">
        <v>321</v>
      </c>
      <c r="E3" s="115" t="s">
        <v>320</v>
      </c>
      <c r="F3" s="160" t="s">
        <v>321</v>
      </c>
      <c r="G3" s="589"/>
    </row>
    <row r="4" spans="2:9" ht="29.1" customHeight="1">
      <c r="B4" s="115">
        <v>1</v>
      </c>
      <c r="C4" s="161" t="s">
        <v>322</v>
      </c>
      <c r="D4" s="162">
        <f ca="1">'11资本金现金流量表'!D14</f>
        <v>255.14233584052036</v>
      </c>
      <c r="E4" s="161" t="s">
        <v>322</v>
      </c>
      <c r="F4" s="163">
        <f ca="1">'9利润与利润分配表'!D14</f>
        <v>255.14233584052036</v>
      </c>
      <c r="G4" s="164" t="str">
        <f ca="1">IF(ABS(D4-F4)&lt;0.1,"通过","有误")</f>
        <v>通过</v>
      </c>
    </row>
    <row r="5" spans="2:9" ht="29.1" customHeight="1">
      <c r="B5" s="115">
        <v>2</v>
      </c>
      <c r="C5" s="161" t="s">
        <v>323</v>
      </c>
      <c r="D5" s="162">
        <f ca="1">'11资本金现金流量表'!D16</f>
        <v>-5914.6808709845745</v>
      </c>
      <c r="E5" s="161" t="s">
        <v>323</v>
      </c>
      <c r="F5" s="163">
        <f ca="1">'9利润与利润分配表'!D18</f>
        <v>-5914.6808709845745</v>
      </c>
      <c r="G5" s="164" t="str">
        <f ca="1">IF(ABS(D5-F5)&lt;0.1,"通过","有误")</f>
        <v>通过</v>
      </c>
      <c r="I5" s="209"/>
    </row>
    <row r="6" spans="2:9" ht="29.1" customHeight="1">
      <c r="B6" s="593">
        <v>3</v>
      </c>
      <c r="C6" s="161" t="s">
        <v>324</v>
      </c>
      <c r="D6" s="162">
        <f ca="1">'11资本金现金流量表'!D4</f>
        <v>68645.844523506981</v>
      </c>
      <c r="E6" s="595" t="s">
        <v>325</v>
      </c>
      <c r="F6" s="591">
        <f ca="1">'9利润与利润分配表'!D7</f>
        <v>64065.516834977447</v>
      </c>
      <c r="G6" s="592" t="str">
        <f ca="1">IF(ABS(D6-F6-D7)&lt;0.1,"通过","有误")</f>
        <v>通过</v>
      </c>
      <c r="I6" s="209"/>
    </row>
    <row r="7" spans="2:9" ht="29.1" customHeight="1">
      <c r="B7" s="594"/>
      <c r="C7" s="161" t="s">
        <v>326</v>
      </c>
      <c r="D7" s="163">
        <f ca="1">'8税金及附加'!E6</f>
        <v>4580.3276885295209</v>
      </c>
      <c r="E7" s="595"/>
      <c r="F7" s="591"/>
      <c r="G7" s="592"/>
      <c r="I7" s="209"/>
    </row>
    <row r="8" spans="2:9" ht="29.1" customHeight="1">
      <c r="B8" s="585">
        <v>4</v>
      </c>
      <c r="C8" s="161" t="s">
        <v>327</v>
      </c>
      <c r="D8" s="162">
        <f>'11资本金现金流量表'!D13</f>
        <v>2324.9667213188382</v>
      </c>
      <c r="E8" s="595" t="s">
        <v>328</v>
      </c>
      <c r="F8" s="596">
        <f ca="1">'9利润与利润分配表'!D10-'9利润与利润分配表'!D13</f>
        <v>39645.502667592089</v>
      </c>
      <c r="G8" s="592" t="str">
        <f ca="1">IF(ABS(D8-D9+D10-F8)&lt;0.1,"通过","有误")</f>
        <v>通过</v>
      </c>
      <c r="I8" s="209"/>
    </row>
    <row r="9" spans="2:9" ht="29.1" customHeight="1">
      <c r="B9" s="585"/>
      <c r="C9" s="161" t="s">
        <v>329</v>
      </c>
      <c r="D9" s="162">
        <f>'8税金及附加'!E12</f>
        <v>131.60188988597199</v>
      </c>
      <c r="E9" s="595"/>
      <c r="F9" s="596"/>
      <c r="G9" s="592"/>
      <c r="I9" s="209"/>
    </row>
    <row r="10" spans="2:9" ht="29.1" customHeight="1">
      <c r="B10" s="585"/>
      <c r="C10" s="161" t="s">
        <v>330</v>
      </c>
      <c r="D10" s="162">
        <f ca="1">'11资本金现金流量表'!D12</f>
        <v>37452.137836159258</v>
      </c>
      <c r="E10" s="590"/>
      <c r="F10" s="596"/>
      <c r="G10" s="592"/>
      <c r="I10" s="209"/>
    </row>
    <row r="11" spans="2:9" ht="29.1" customHeight="1">
      <c r="B11" s="589">
        <v>5</v>
      </c>
      <c r="C11" s="165" t="s">
        <v>331</v>
      </c>
      <c r="D11" s="162">
        <f ca="1">'11资本金现金流量表'!D10+'11资本金现金流量表'!D11</f>
        <v>66320.877802188144</v>
      </c>
      <c r="E11" s="590" t="s">
        <v>332</v>
      </c>
      <c r="F11" s="591">
        <f ca="1">'9利润与利润分配表'!D13</f>
        <v>61372.493217467847</v>
      </c>
      <c r="G11" s="592" t="str">
        <f ca="1">IF(ABS(D11-D12+D13-F11)&lt;0.1,"通过","有误")</f>
        <v>通过</v>
      </c>
      <c r="I11" s="209"/>
    </row>
    <row r="12" spans="2:9" ht="29.1" customHeight="1">
      <c r="B12" s="589"/>
      <c r="C12" s="161" t="s">
        <v>333</v>
      </c>
      <c r="D12" s="162">
        <f>'8税金及附加'!E10</f>
        <v>4948.3845847203047</v>
      </c>
      <c r="E12" s="590"/>
      <c r="F12" s="591"/>
      <c r="G12" s="592"/>
      <c r="I12" s="209"/>
    </row>
    <row r="13" spans="2:9" ht="29.1" customHeight="1">
      <c r="B13" s="589"/>
      <c r="C13" s="166" t="s">
        <v>334</v>
      </c>
      <c r="D13" s="167"/>
      <c r="E13" s="590"/>
      <c r="F13" s="591"/>
      <c r="G13" s="592"/>
      <c r="I13" s="209"/>
    </row>
    <row r="14" spans="2:9" ht="29.1" customHeight="1">
      <c r="B14" s="115">
        <v>6</v>
      </c>
      <c r="C14" s="165" t="s">
        <v>335</v>
      </c>
      <c r="D14" s="162">
        <f ca="1">'11资本金现金流量表'!D15</f>
        <v>1582.9327879549965</v>
      </c>
      <c r="E14" s="165" t="s">
        <v>335</v>
      </c>
      <c r="F14" s="128">
        <f ca="1">D7-D9-D12</f>
        <v>-499.65878607675586</v>
      </c>
      <c r="G14" s="164" t="str">
        <f ca="1">IF(ABS(D14-F14)&lt;0.1,"通过","有误")</f>
        <v>有误</v>
      </c>
      <c r="I14" s="209"/>
    </row>
    <row r="15" spans="2:9" ht="29.1" customHeight="1">
      <c r="B15" s="115">
        <v>7</v>
      </c>
      <c r="C15" s="161" t="s">
        <v>336</v>
      </c>
      <c r="D15" s="168">
        <f ca="1">'11资本金现金流量表'!D20</f>
        <v>-33375.532088970212</v>
      </c>
      <c r="E15" s="161" t="s">
        <v>337</v>
      </c>
      <c r="F15" s="168">
        <f ca="1">'9利润与利润分配表'!D19</f>
        <v>-31292.940514938451</v>
      </c>
      <c r="G15" s="164" t="str">
        <f ca="1">IF(ABS(D15-F15)&lt;0.1,"通过","有误")</f>
        <v>有误</v>
      </c>
      <c r="I15" s="209"/>
    </row>
    <row r="16" spans="2:9" ht="29.1" customHeight="1"/>
  </sheetData>
  <mergeCells count="16">
    <mergeCell ref="B2:B3"/>
    <mergeCell ref="C2:D2"/>
    <mergeCell ref="E2:F2"/>
    <mergeCell ref="G2:G3"/>
    <mergeCell ref="B11:B13"/>
    <mergeCell ref="E11:E13"/>
    <mergeCell ref="F11:F13"/>
    <mergeCell ref="G11:G13"/>
    <mergeCell ref="B6:B7"/>
    <mergeCell ref="E6:E7"/>
    <mergeCell ref="F6:F7"/>
    <mergeCell ref="G6:G7"/>
    <mergeCell ref="B8:B10"/>
    <mergeCell ref="E8:E10"/>
    <mergeCell ref="F8:F10"/>
    <mergeCell ref="G8:G10"/>
  </mergeCells>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0"/>
  <sheetViews>
    <sheetView zoomScaleNormal="100" workbookViewId="0">
      <selection activeCell="B3" sqref="B3:AB20"/>
    </sheetView>
  </sheetViews>
  <sheetFormatPr defaultColWidth="11" defaultRowHeight="15.6"/>
  <cols>
    <col min="2" max="2" width="11.08984375" bestFit="1" customWidth="1"/>
    <col min="3" max="3" width="21.6328125" bestFit="1" customWidth="1"/>
    <col min="4" max="4" width="11.36328125" style="21" bestFit="1" customWidth="1"/>
    <col min="5" max="5" width="13.90625" style="21" bestFit="1" customWidth="1"/>
    <col min="6" max="6" width="12.453125" style="21" bestFit="1" customWidth="1"/>
    <col min="7" max="17" width="12.6328125" style="21" bestFit="1" customWidth="1"/>
    <col min="18" max="18" width="16.36328125" style="21" bestFit="1" customWidth="1"/>
    <col min="19" max="20" width="11.453125" style="21" bestFit="1" customWidth="1"/>
    <col min="21" max="22" width="11.36328125" style="21" bestFit="1" customWidth="1"/>
  </cols>
  <sheetData>
    <row r="2" spans="2:28" ht="17.399999999999999">
      <c r="B2" s="194" t="s">
        <v>372</v>
      </c>
    </row>
    <row r="3" spans="2:28" ht="24.9" customHeight="1">
      <c r="B3" s="598" t="s">
        <v>112</v>
      </c>
      <c r="C3" s="598" t="s">
        <v>113</v>
      </c>
      <c r="D3" s="599" t="s">
        <v>114</v>
      </c>
      <c r="E3" s="598" t="s">
        <v>115</v>
      </c>
      <c r="F3" s="505" t="s">
        <v>75</v>
      </c>
      <c r="G3" s="505"/>
      <c r="H3" s="505"/>
      <c r="I3" s="505" t="s">
        <v>497</v>
      </c>
      <c r="J3" s="505"/>
      <c r="K3" s="505"/>
      <c r="L3" s="505"/>
      <c r="M3" s="505"/>
      <c r="N3" s="505"/>
      <c r="O3" s="505"/>
      <c r="P3" s="505"/>
      <c r="Q3" s="505"/>
      <c r="R3" s="505"/>
      <c r="S3" s="505"/>
      <c r="T3" s="505"/>
      <c r="U3" s="505"/>
      <c r="V3" s="505"/>
      <c r="W3" s="505"/>
      <c r="X3" s="505"/>
      <c r="Y3" s="505"/>
      <c r="Z3" s="505"/>
      <c r="AA3" s="505"/>
      <c r="AB3" s="505"/>
    </row>
    <row r="4" spans="2:28" ht="24.9" customHeight="1">
      <c r="B4" s="598"/>
      <c r="C4" s="598"/>
      <c r="D4" s="599"/>
      <c r="E4" s="598"/>
      <c r="F4" s="77">
        <v>1</v>
      </c>
      <c r="G4" s="77">
        <v>2</v>
      </c>
      <c r="H4" s="77">
        <v>3</v>
      </c>
      <c r="I4" s="77">
        <v>4</v>
      </c>
      <c r="J4" s="77">
        <v>5</v>
      </c>
      <c r="K4" s="77">
        <v>6</v>
      </c>
      <c r="L4" s="77">
        <v>7</v>
      </c>
      <c r="M4" s="77">
        <v>8</v>
      </c>
      <c r="N4" s="77">
        <v>9</v>
      </c>
      <c r="O4" s="77">
        <v>10</v>
      </c>
      <c r="P4" s="77">
        <v>11</v>
      </c>
      <c r="Q4" s="77">
        <v>12</v>
      </c>
      <c r="R4" s="77">
        <v>13</v>
      </c>
      <c r="S4" s="77">
        <v>14</v>
      </c>
      <c r="T4" s="77">
        <v>15</v>
      </c>
      <c r="U4" s="77">
        <v>16</v>
      </c>
      <c r="V4" s="77">
        <v>17</v>
      </c>
      <c r="W4" s="77">
        <v>18</v>
      </c>
      <c r="X4" s="77">
        <v>19</v>
      </c>
      <c r="Y4" s="77">
        <v>20</v>
      </c>
      <c r="Z4" s="77">
        <v>21</v>
      </c>
      <c r="AA4" s="77">
        <v>22</v>
      </c>
      <c r="AB4" s="77">
        <v>23</v>
      </c>
    </row>
    <row r="5" spans="2:28" ht="24.9" customHeight="1">
      <c r="B5" s="78" t="s">
        <v>101</v>
      </c>
      <c r="C5" s="79" t="s">
        <v>116</v>
      </c>
      <c r="D5" s="25"/>
      <c r="E5" s="65">
        <f ca="1">SUM(F5:AB5)</f>
        <v>1582.9327879549965</v>
      </c>
      <c r="F5" s="25">
        <f>IF(F20&gt;0,F20,0)</f>
        <v>0</v>
      </c>
      <c r="G5" s="25">
        <f t="shared" ref="G5:U5" si="0">IF(G20&gt;0,G20,0)</f>
        <v>0</v>
      </c>
      <c r="H5" s="25">
        <f t="shared" si="0"/>
        <v>0</v>
      </c>
      <c r="I5" s="25">
        <f t="shared" ca="1" si="0"/>
        <v>0</v>
      </c>
      <c r="J5" s="25">
        <f t="shared" ca="1" si="0"/>
        <v>0</v>
      </c>
      <c r="K5" s="25">
        <f t="shared" ca="1" si="0"/>
        <v>0</v>
      </c>
      <c r="L5" s="25">
        <f t="shared" ca="1" si="0"/>
        <v>0</v>
      </c>
      <c r="M5" s="25">
        <f t="shared" ca="1" si="0"/>
        <v>0</v>
      </c>
      <c r="N5" s="25">
        <f t="shared" ca="1" si="0"/>
        <v>0</v>
      </c>
      <c r="O5" s="25">
        <f t="shared" ca="1" si="0"/>
        <v>0</v>
      </c>
      <c r="P5" s="25">
        <f t="shared" ca="1" si="0"/>
        <v>0</v>
      </c>
      <c r="Q5" s="25">
        <f t="shared" ca="1" si="0"/>
        <v>0</v>
      </c>
      <c r="R5" s="67">
        <f t="shared" ca="1" si="0"/>
        <v>0</v>
      </c>
      <c r="S5" s="67">
        <f t="shared" ca="1" si="0"/>
        <v>0</v>
      </c>
      <c r="T5" s="67">
        <f t="shared" ca="1" si="0"/>
        <v>0</v>
      </c>
      <c r="U5" s="67">
        <f t="shared" ca="1" si="0"/>
        <v>0</v>
      </c>
      <c r="V5" s="67">
        <f t="shared" ref="V5:W5" ca="1" si="1">V6-V9</f>
        <v>224.27824610284711</v>
      </c>
      <c r="W5" s="67">
        <f t="shared" ca="1" si="1"/>
        <v>224.27824610284711</v>
      </c>
      <c r="X5" s="67">
        <f t="shared" ref="X5:AB5" ca="1" si="2">X6-X9</f>
        <v>226.10712853032135</v>
      </c>
      <c r="Y5" s="67">
        <f t="shared" ca="1" si="2"/>
        <v>226.10712853032132</v>
      </c>
      <c r="Z5" s="67">
        <f t="shared" ca="1" si="2"/>
        <v>226.10712853032135</v>
      </c>
      <c r="AA5" s="67">
        <f t="shared" ca="1" si="2"/>
        <v>228.02745507916927</v>
      </c>
      <c r="AB5" s="67">
        <f t="shared" ca="1" si="2"/>
        <v>228.02745507916927</v>
      </c>
    </row>
    <row r="6" spans="2:28" ht="24.9" customHeight="1">
      <c r="B6" s="80" t="s">
        <v>117</v>
      </c>
      <c r="C6" s="81" t="s">
        <v>118</v>
      </c>
      <c r="D6" s="61"/>
      <c r="E6" s="65">
        <f ca="1">SUM(F6:AB6)</f>
        <v>4580.3276885295209</v>
      </c>
      <c r="F6" s="193">
        <f>F7+F8</f>
        <v>0</v>
      </c>
      <c r="G6" s="193">
        <f t="shared" ref="G6:W6" si="3">G7+G8</f>
        <v>0</v>
      </c>
      <c r="H6" s="193">
        <f t="shared" si="3"/>
        <v>0</v>
      </c>
      <c r="I6" s="193">
        <f t="shared" ca="1" si="3"/>
        <v>223.20942142388367</v>
      </c>
      <c r="J6" s="193">
        <f t="shared" ca="1" si="3"/>
        <v>223.31774746161952</v>
      </c>
      <c r="K6" s="193">
        <f t="shared" ca="1" si="3"/>
        <v>223.42824002011008</v>
      </c>
      <c r="L6" s="193">
        <f t="shared" ca="1" si="3"/>
        <v>225.04556852895689</v>
      </c>
      <c r="M6" s="193">
        <f t="shared" ca="1" si="3"/>
        <v>225.16052498681046</v>
      </c>
      <c r="N6" s="193">
        <f t="shared" ca="1" si="3"/>
        <v>225.2777805738211</v>
      </c>
      <c r="O6" s="193">
        <f t="shared" ca="1" si="3"/>
        <v>226.97723867671777</v>
      </c>
      <c r="P6" s="193">
        <f t="shared" ca="1" si="3"/>
        <v>227.09923138944362</v>
      </c>
      <c r="Q6" s="193">
        <f t="shared" ca="1" si="3"/>
        <v>227.22366395642405</v>
      </c>
      <c r="R6" s="193">
        <f t="shared" ca="1" si="3"/>
        <v>229.00943544909708</v>
      </c>
      <c r="S6" s="193">
        <f t="shared" ca="1" si="3"/>
        <v>229.13889509178347</v>
      </c>
      <c r="T6" s="193">
        <f t="shared" ca="1" si="3"/>
        <v>229.27094392732369</v>
      </c>
      <c r="U6" s="193">
        <f t="shared" ca="1" si="3"/>
        <v>231.14742652764528</v>
      </c>
      <c r="V6" s="193">
        <f t="shared" ca="1" si="3"/>
        <v>231.28481013614123</v>
      </c>
      <c r="W6" s="193">
        <f t="shared" ca="1" si="3"/>
        <v>231.42494141680712</v>
      </c>
      <c r="X6" s="193">
        <f t="shared" ref="X6:AB6" ca="1" si="4">X7+X8</f>
        <v>233.39675775056054</v>
      </c>
      <c r="Y6" s="193">
        <f t="shared" ca="1" si="4"/>
        <v>233.54255033496531</v>
      </c>
      <c r="Z6" s="193">
        <f t="shared" ca="1" si="4"/>
        <v>233.69125877105822</v>
      </c>
      <c r="AA6" s="193">
        <f t="shared" ca="1" si="4"/>
        <v>235.76326792472088</v>
      </c>
      <c r="AB6" s="193">
        <f t="shared" ca="1" si="4"/>
        <v>235.91798418163191</v>
      </c>
    </row>
    <row r="7" spans="2:28" ht="24.9" customHeight="1">
      <c r="B7" s="82">
        <v>1</v>
      </c>
      <c r="C7" s="83" t="s">
        <v>119</v>
      </c>
      <c r="D7" s="91">
        <v>0.06</v>
      </c>
      <c r="E7" s="65">
        <f t="shared" ref="E7:E19" ca="1" si="5">SUM(F7:AB7)</f>
        <v>2371.1376532368963</v>
      </c>
      <c r="F7" s="65">
        <f>'5政府补贴测算'!G10/(1+$D$7)*$D$7</f>
        <v>0</v>
      </c>
      <c r="G7" s="65">
        <f>'5政府补贴测算'!H10/(1+$D$7)*$D$7</f>
        <v>0</v>
      </c>
      <c r="H7" s="65">
        <f>'5政府补贴测算'!I10/(1+$D$7)*$D$7</f>
        <v>0</v>
      </c>
      <c r="I7" s="65">
        <f ca="1">'5政府补贴测算'!J10/(1+$D$7)*$D$7</f>
        <v>127.51520151562679</v>
      </c>
      <c r="J7" s="65">
        <f ca="1">'5政府补贴测算'!K10/(1+$D$7)*$D$7</f>
        <v>127.62352755336263</v>
      </c>
      <c r="K7" s="65">
        <f ca="1">'5政府补贴测算'!L10/(1+$D$7)*$D$7</f>
        <v>127.7340201118532</v>
      </c>
      <c r="L7" s="65">
        <f ca="1">'5政府补贴测算'!M10/(1+$D$7)*$D$7</f>
        <v>124.56663762528717</v>
      </c>
      <c r="M7" s="65">
        <f ca="1">'5政府补贴测算'!N10/(1+$D$7)*$D$7</f>
        <v>124.68159408314074</v>
      </c>
      <c r="N7" s="65">
        <f ca="1">'5政府补贴测算'!O10/(1+$D$7)*$D$7</f>
        <v>124.79884967015138</v>
      </c>
      <c r="O7" s="65">
        <f ca="1">'5政府补贴测算'!P10/(1+$D$7)*$D$7</f>
        <v>121.47436122786453</v>
      </c>
      <c r="P7" s="65">
        <f ca="1">'5政府补贴测算'!Q10/(1+$D$7)*$D$7</f>
        <v>121.5963539405904</v>
      </c>
      <c r="Q7" s="65">
        <f ca="1">'5政府补贴测算'!R10/(1+$D$7)*$D$7</f>
        <v>121.72078650757082</v>
      </c>
      <c r="R7" s="65">
        <f ca="1">'5政府补贴测算'!G16/(1+$D$7)*$D$7</f>
        <v>118.2314141278012</v>
      </c>
      <c r="S7" s="65">
        <f ca="1">'5政府补贴测算'!H16/(1+$D$7)*$D$7</f>
        <v>118.3608737704876</v>
      </c>
      <c r="T7" s="65">
        <f ca="1">'5政府补贴测算'!I16/(1+$D$7)*$D$7</f>
        <v>118.49292260602779</v>
      </c>
      <c r="U7" s="65">
        <f ca="1">'5政府补贴测算'!J16/(1+$D$7)*$D$7</f>
        <v>114.83050414028459</v>
      </c>
      <c r="V7" s="65">
        <f ca="1">'5政府补贴测算'!K16/(1+$D$7)*$D$7</f>
        <v>114.96788774878056</v>
      </c>
      <c r="W7" s="65">
        <f ca="1">'5政府补贴测算'!L16/(1+$D$7)*$D$7</f>
        <v>115.10801902944644</v>
      </c>
      <c r="X7" s="65">
        <f ca="1">'5政府补贴测算'!M16/(1+$D$7)*$D$7</f>
        <v>111.26398924383183</v>
      </c>
      <c r="Y7" s="65">
        <f ca="1">'5政府补贴测算'!N16/(1+$D$7)*$D$7</f>
        <v>111.4097818282366</v>
      </c>
      <c r="Z7" s="65">
        <f ca="1">'5政府补贴测算'!O16/(1+$D$7)*$D$7</f>
        <v>111.55849026432949</v>
      </c>
      <c r="AA7" s="65">
        <f ca="1">'5政府补贴测算'!P16/(1+$D$7)*$D$7</f>
        <v>107.52386099265571</v>
      </c>
      <c r="AB7" s="65">
        <f ca="1">'5政府补贴测算'!Q16/(1+$D$7)*$D$7</f>
        <v>107.67857724956676</v>
      </c>
    </row>
    <row r="8" spans="2:28" ht="24.9" customHeight="1">
      <c r="B8" s="82">
        <v>2</v>
      </c>
      <c r="C8" s="83" t="s">
        <v>99</v>
      </c>
      <c r="D8" s="91">
        <v>0.09</v>
      </c>
      <c r="E8" s="65">
        <f t="shared" si="5"/>
        <v>2209.1900352926259</v>
      </c>
      <c r="F8" s="65">
        <f>'5政府补贴测算'!G9/(1+$D$8)*$D$8</f>
        <v>0</v>
      </c>
      <c r="G8" s="65">
        <f>'5政府补贴测算'!H9/(1+$D$8)*$D$8</f>
        <v>0</v>
      </c>
      <c r="H8" s="65">
        <f>'5政府补贴测算'!I9/(1+$D$8)*$D$8</f>
        <v>0</v>
      </c>
      <c r="I8" s="65">
        <f>'5政府补贴测算'!J9/(1+$D$8)*$D$8</f>
        <v>95.694219908256883</v>
      </c>
      <c r="J8" s="65">
        <f>'5政府补贴测算'!K9/(1+$D$8)*$D$8</f>
        <v>95.694219908256883</v>
      </c>
      <c r="K8" s="65">
        <f>'5政府补贴测算'!L9/(1+$D$8)*$D$8</f>
        <v>95.694219908256883</v>
      </c>
      <c r="L8" s="65">
        <f>'5政府补贴测算'!M9/(1+$D$8)*$D$8</f>
        <v>100.47893090366972</v>
      </c>
      <c r="M8" s="65">
        <f>'5政府补贴测算'!N9/(1+$D$8)*$D$8</f>
        <v>100.47893090366972</v>
      </c>
      <c r="N8" s="65">
        <f>'5政府补贴测算'!O9/(1+$D$8)*$D$8</f>
        <v>100.47893090366972</v>
      </c>
      <c r="O8" s="65">
        <f>'5政府补贴测算'!P9/(1+$D$8)*$D$8</f>
        <v>105.50287744885323</v>
      </c>
      <c r="P8" s="65">
        <f>'5政府补贴测算'!Q9/(1+$D$8)*$D$8</f>
        <v>105.50287744885323</v>
      </c>
      <c r="Q8" s="65">
        <f>'5政府补贴测算'!R9/(1+$D$8)*$D$8</f>
        <v>105.50287744885323</v>
      </c>
      <c r="R8" s="65">
        <f>'5政府补贴测算'!G15/(1+$D$8)*$D$8</f>
        <v>110.77802132129588</v>
      </c>
      <c r="S8" s="65">
        <f>'5政府补贴测算'!H15/(1+$D$8)*$D$8</f>
        <v>110.77802132129588</v>
      </c>
      <c r="T8" s="65">
        <f>'5政府补贴测算'!I15/(1+$D$8)*$D$8</f>
        <v>110.77802132129588</v>
      </c>
      <c r="U8" s="65">
        <f>'5政府补贴测算'!J15/(1+$D$8)*$D$8</f>
        <v>116.31692238736068</v>
      </c>
      <c r="V8" s="65">
        <f>'5政府补贴测算'!K15/(1+$D$8)*$D$8</f>
        <v>116.31692238736068</v>
      </c>
      <c r="W8" s="65">
        <f>'5政府补贴测算'!L15/(1+$D$8)*$D$8</f>
        <v>116.31692238736068</v>
      </c>
      <c r="X8" s="65">
        <f>'5政府补贴测算'!M15/(1+$D$8)*$D$8</f>
        <v>122.13276850672872</v>
      </c>
      <c r="Y8" s="65">
        <f>'5政府补贴测算'!N15/(1+$D$8)*$D$8</f>
        <v>122.13276850672872</v>
      </c>
      <c r="Z8" s="65">
        <f>'5政府补贴测算'!O15/(1+$D$8)*$D$8</f>
        <v>122.13276850672872</v>
      </c>
      <c r="AA8" s="65">
        <f>'5政府补贴测算'!P15/(1+$D$8)*$D$8</f>
        <v>128.23940693206515</v>
      </c>
      <c r="AB8" s="65">
        <f>'5政府补贴测算'!Q15/(1+$D$8)*$D$8</f>
        <v>128.23940693206515</v>
      </c>
    </row>
    <row r="9" spans="2:28" ht="24.9" customHeight="1">
      <c r="B9" s="80">
        <v>1.2</v>
      </c>
      <c r="C9" s="81" t="s">
        <v>120</v>
      </c>
      <c r="D9" s="61"/>
      <c r="E9" s="65">
        <f t="shared" si="5"/>
        <v>5079.9864746062785</v>
      </c>
      <c r="F9" s="193">
        <f>F10+F11+F12</f>
        <v>1591.2380167248518</v>
      </c>
      <c r="G9" s="193">
        <f t="shared" ref="G9:W9" si="6">G10+G11+G12</f>
        <v>1678.5732839977263</v>
      </c>
      <c r="H9" s="193">
        <f t="shared" si="6"/>
        <v>1678.5732839977263</v>
      </c>
      <c r="I9" s="193">
        <f t="shared" si="6"/>
        <v>5.4163018867924517</v>
      </c>
      <c r="J9" s="193">
        <f t="shared" si="6"/>
        <v>5.5246279245283008</v>
      </c>
      <c r="K9" s="193">
        <f t="shared" si="6"/>
        <v>5.6351204830188664</v>
      </c>
      <c r="L9" s="193">
        <f t="shared" si="6"/>
        <v>5.7478228926792436</v>
      </c>
      <c r="M9" s="193">
        <f t="shared" si="6"/>
        <v>5.8627793505328292</v>
      </c>
      <c r="N9" s="193">
        <f t="shared" si="6"/>
        <v>5.9800349375434845</v>
      </c>
      <c r="O9" s="193">
        <f t="shared" si="6"/>
        <v>6.0996356362943542</v>
      </c>
      <c r="P9" s="193">
        <f t="shared" si="6"/>
        <v>6.221628349020242</v>
      </c>
      <c r="Q9" s="193">
        <f t="shared" si="6"/>
        <v>6.3460609160006474</v>
      </c>
      <c r="R9" s="193">
        <f t="shared" si="6"/>
        <v>6.4729821343206604</v>
      </c>
      <c r="S9" s="193">
        <f t="shared" si="6"/>
        <v>6.6024417770070736</v>
      </c>
      <c r="T9" s="193">
        <f t="shared" si="6"/>
        <v>6.7344906125472157</v>
      </c>
      <c r="U9" s="193">
        <f t="shared" si="6"/>
        <v>6.8691804247981603</v>
      </c>
      <c r="V9" s="193">
        <f t="shared" si="6"/>
        <v>7.006564033294123</v>
      </c>
      <c r="W9" s="193">
        <f t="shared" si="6"/>
        <v>7.1466953139600058</v>
      </c>
      <c r="X9" s="193">
        <f t="shared" ref="X9:AB9" si="7">X10+X11+X12</f>
        <v>7.2896292202392052</v>
      </c>
      <c r="Y9" s="193">
        <f t="shared" si="7"/>
        <v>7.4354218046439895</v>
      </c>
      <c r="Z9" s="193">
        <f t="shared" si="7"/>
        <v>7.5841302407368696</v>
      </c>
      <c r="AA9" s="193">
        <f t="shared" si="7"/>
        <v>7.7358128455516075</v>
      </c>
      <c r="AB9" s="193">
        <f t="shared" si="7"/>
        <v>7.8905291024626401</v>
      </c>
    </row>
    <row r="10" spans="2:28" ht="24.9" customHeight="1">
      <c r="B10" s="82" t="s">
        <v>121</v>
      </c>
      <c r="C10" s="83" t="s">
        <v>122</v>
      </c>
      <c r="D10" s="25"/>
      <c r="E10" s="65">
        <f t="shared" si="5"/>
        <v>4948.3845847203047</v>
      </c>
      <c r="F10" s="65">
        <f>'3资产及税金估算表'!E28</f>
        <v>1591.2380167248518</v>
      </c>
      <c r="G10" s="65">
        <f>'3资产及税金估算表'!F28</f>
        <v>1678.5732839977263</v>
      </c>
      <c r="H10" s="65">
        <f>'3资产及税金估算表'!G28</f>
        <v>1678.5732839977263</v>
      </c>
      <c r="I10" s="65"/>
      <c r="J10" s="65"/>
      <c r="K10" s="65"/>
      <c r="L10" s="65"/>
      <c r="M10" s="65"/>
      <c r="N10" s="65"/>
      <c r="O10" s="65"/>
      <c r="P10" s="65"/>
      <c r="Q10" s="65"/>
      <c r="R10" s="65"/>
      <c r="S10" s="65"/>
      <c r="T10" s="65"/>
      <c r="U10" s="65"/>
      <c r="V10" s="65"/>
      <c r="W10" s="252"/>
      <c r="X10" s="252"/>
      <c r="Y10" s="252"/>
      <c r="Z10" s="252"/>
      <c r="AA10" s="252"/>
      <c r="AB10" s="252"/>
    </row>
    <row r="11" spans="2:28" ht="24.9" customHeight="1">
      <c r="B11" s="82" t="s">
        <v>123</v>
      </c>
      <c r="C11" s="83" t="s">
        <v>124</v>
      </c>
      <c r="D11" s="25"/>
      <c r="E11" s="65"/>
      <c r="F11" s="65"/>
      <c r="G11" s="65"/>
      <c r="H11" s="65"/>
      <c r="I11" s="65"/>
      <c r="J11" s="65"/>
      <c r="K11" s="65"/>
      <c r="L11" s="65"/>
      <c r="M11" s="65"/>
      <c r="N11" s="65"/>
      <c r="O11" s="65"/>
      <c r="P11" s="65"/>
      <c r="Q11" s="65"/>
      <c r="R11" s="65"/>
      <c r="S11" s="65"/>
      <c r="T11" s="65"/>
      <c r="U11" s="65"/>
      <c r="V11" s="65"/>
      <c r="W11" s="252"/>
      <c r="X11" s="252"/>
      <c r="Y11" s="252"/>
      <c r="Z11" s="252"/>
      <c r="AA11" s="252"/>
      <c r="AB11" s="252"/>
    </row>
    <row r="12" spans="2:28" ht="24.9" customHeight="1">
      <c r="B12" s="82" t="s">
        <v>125</v>
      </c>
      <c r="C12" s="83" t="s">
        <v>126</v>
      </c>
      <c r="D12" s="91">
        <v>0.06</v>
      </c>
      <c r="E12" s="65">
        <f t="shared" si="5"/>
        <v>131.60188988597199</v>
      </c>
      <c r="F12" s="65">
        <f>'5政府补贴测算'!G8/(1+$D$12)*$D$12</f>
        <v>0</v>
      </c>
      <c r="G12" s="65">
        <f>'5政府补贴测算'!H8/(1+$D$12)*$D$12</f>
        <v>0</v>
      </c>
      <c r="H12" s="65">
        <f>'5政府补贴测算'!I8/(1+$D$12)*$D$12</f>
        <v>0</v>
      </c>
      <c r="I12" s="65">
        <f>'5政府补贴测算'!J8/(1+$D$12)*$D$12</f>
        <v>5.4163018867924517</v>
      </c>
      <c r="J12" s="65">
        <f>'5政府补贴测算'!K8/(1+$D$12)*$D$12</f>
        <v>5.5246279245283008</v>
      </c>
      <c r="K12" s="65">
        <f>'5政府补贴测算'!L8/(1+$D$12)*$D$12</f>
        <v>5.6351204830188664</v>
      </c>
      <c r="L12" s="65">
        <f>'5政府补贴测算'!M8/(1+$D$12)*$D$12</f>
        <v>5.7478228926792436</v>
      </c>
      <c r="M12" s="65">
        <f>'5政府补贴测算'!N8/(1+$D$12)*$D$12</f>
        <v>5.8627793505328292</v>
      </c>
      <c r="N12" s="65">
        <f>'5政府补贴测算'!O8/(1+$D$12)*$D$12</f>
        <v>5.9800349375434845</v>
      </c>
      <c r="O12" s="65">
        <f>'5政府补贴测算'!P8/(1+$D$12)*$D$12</f>
        <v>6.0996356362943542</v>
      </c>
      <c r="P12" s="65">
        <f>'5政府补贴测算'!Q8/(1+$D$12)*$D$12</f>
        <v>6.221628349020242</v>
      </c>
      <c r="Q12" s="65">
        <f>'5政府补贴测算'!R8/(1+$D$12)*$D$12</f>
        <v>6.3460609160006474</v>
      </c>
      <c r="R12" s="65">
        <f>'5政府补贴测算'!G14/(1+$D$12)*$D$12</f>
        <v>6.4729821343206604</v>
      </c>
      <c r="S12" s="65">
        <f>'5政府补贴测算'!H14/(1+$D$12)*$D$12</f>
        <v>6.6024417770070736</v>
      </c>
      <c r="T12" s="65">
        <f>'5政府补贴测算'!I14/(1+$D$12)*$D$12</f>
        <v>6.7344906125472157</v>
      </c>
      <c r="U12" s="65">
        <f>'5政府补贴测算'!J14/(1+$D$12)*$D$12</f>
        <v>6.8691804247981603</v>
      </c>
      <c r="V12" s="65">
        <f>'5政府补贴测算'!K14/(1+$D$12)*$D$12</f>
        <v>7.006564033294123</v>
      </c>
      <c r="W12" s="65">
        <f>'5政府补贴测算'!L14/(1+$D$12)*$D$12</f>
        <v>7.1466953139600058</v>
      </c>
      <c r="X12" s="65">
        <f>'5政府补贴测算'!M14/(1+$D$12)*$D$12</f>
        <v>7.2896292202392052</v>
      </c>
      <c r="Y12" s="65">
        <f>'5政府补贴测算'!N14/(1+$D$12)*$D$12</f>
        <v>7.4354218046439895</v>
      </c>
      <c r="Z12" s="65">
        <f>'5政府补贴测算'!O14/(1+$D$12)*$D$12</f>
        <v>7.5841302407368696</v>
      </c>
      <c r="AA12" s="65">
        <f>'5政府补贴测算'!P14/(1+$D$12)*$D$12</f>
        <v>7.7358128455516075</v>
      </c>
      <c r="AB12" s="65">
        <f>'5政府补贴测算'!Q14/(1+$D$12)*$D$12</f>
        <v>7.8905291024626401</v>
      </c>
    </row>
    <row r="13" spans="2:28" ht="24.9" customHeight="1">
      <c r="B13" s="84" t="s">
        <v>103</v>
      </c>
      <c r="C13" s="85" t="s">
        <v>127</v>
      </c>
      <c r="D13" s="61"/>
      <c r="E13" s="65">
        <f t="shared" ca="1" si="5"/>
        <v>255.14233584052036</v>
      </c>
      <c r="F13" s="193">
        <f>F14+F15+F16+F17</f>
        <v>0</v>
      </c>
      <c r="G13" s="193">
        <f t="shared" ref="G13:W13" si="8">G14+G15+G16+G17</f>
        <v>0</v>
      </c>
      <c r="H13" s="193">
        <f t="shared" si="8"/>
        <v>0</v>
      </c>
      <c r="I13" s="193">
        <f t="shared" ca="1" si="8"/>
        <v>0</v>
      </c>
      <c r="J13" s="193">
        <f t="shared" ca="1" si="8"/>
        <v>3.4117318901094067</v>
      </c>
      <c r="K13" s="193">
        <f t="shared" ca="1" si="8"/>
        <v>3.4136456501094066</v>
      </c>
      <c r="L13" s="193">
        <f t="shared" ca="1" si="8"/>
        <v>3.4155976853094066</v>
      </c>
      <c r="M13" s="193">
        <f t="shared" ca="1" si="8"/>
        <v>3.4175887612134068</v>
      </c>
      <c r="N13" s="193">
        <f t="shared" ca="1" si="8"/>
        <v>3.4196196586354866</v>
      </c>
      <c r="O13" s="193">
        <f t="shared" ca="1" si="8"/>
        <v>3.4216911740060079</v>
      </c>
      <c r="P13" s="193">
        <f t="shared" ca="1" si="8"/>
        <v>3.4238041196839406</v>
      </c>
      <c r="Q13" s="193">
        <f t="shared" ca="1" si="8"/>
        <v>3.4259593242754307</v>
      </c>
      <c r="R13" s="193">
        <f t="shared" ca="1" si="8"/>
        <v>3.4281576329587518</v>
      </c>
      <c r="S13" s="193">
        <f t="shared" ca="1" si="8"/>
        <v>3.4303999078157386</v>
      </c>
      <c r="T13" s="193">
        <f t="shared" ca="1" si="8"/>
        <v>3.4326870281698647</v>
      </c>
      <c r="U13" s="193">
        <f t="shared" ca="1" si="8"/>
        <v>3.4350198909310747</v>
      </c>
      <c r="V13" s="193">
        <f t="shared" ca="1" si="8"/>
        <v>30.35078894328916</v>
      </c>
      <c r="W13" s="193">
        <f t="shared" ca="1" si="8"/>
        <v>30.353216053705925</v>
      </c>
      <c r="X13" s="193">
        <f t="shared" ref="X13:AB13" ca="1" si="9">X14+X15+X16+X17</f>
        <v>30.575157597627928</v>
      </c>
      <c r="Y13" s="193">
        <f t="shared" ca="1" si="9"/>
        <v>30.577682763305525</v>
      </c>
      <c r="Z13" s="193">
        <f t="shared" ca="1" si="9"/>
        <v>30.580258432296677</v>
      </c>
      <c r="AA13" s="193">
        <f t="shared" ca="1" si="9"/>
        <v>30.813324800529408</v>
      </c>
      <c r="AB13" s="193">
        <f t="shared" ca="1" si="9"/>
        <v>30.8160045265478</v>
      </c>
    </row>
    <row r="14" spans="2:28" ht="24.9" customHeight="1">
      <c r="B14" s="26">
        <v>1</v>
      </c>
      <c r="C14" s="87" t="s">
        <v>500</v>
      </c>
      <c r="D14" s="92">
        <v>7.0000000000000007E-2</v>
      </c>
      <c r="E14" s="65">
        <f t="shared" ca="1" si="5"/>
        <v>110.80529515684977</v>
      </c>
      <c r="F14" s="65">
        <f>F5*$D$14</f>
        <v>0</v>
      </c>
      <c r="G14" s="65">
        <f t="shared" ref="G14:W14" si="10">G5*$D$14</f>
        <v>0</v>
      </c>
      <c r="H14" s="65">
        <f t="shared" si="10"/>
        <v>0</v>
      </c>
      <c r="I14" s="65">
        <f t="shared" ca="1" si="10"/>
        <v>0</v>
      </c>
      <c r="J14" s="65">
        <f t="shared" ca="1" si="10"/>
        <v>0</v>
      </c>
      <c r="K14" s="65">
        <f t="shared" ca="1" si="10"/>
        <v>0</v>
      </c>
      <c r="L14" s="65">
        <f t="shared" ca="1" si="10"/>
        <v>0</v>
      </c>
      <c r="M14" s="65">
        <f t="shared" ca="1" si="10"/>
        <v>0</v>
      </c>
      <c r="N14" s="65">
        <f t="shared" ca="1" si="10"/>
        <v>0</v>
      </c>
      <c r="O14" s="65">
        <f t="shared" ca="1" si="10"/>
        <v>0</v>
      </c>
      <c r="P14" s="65">
        <f t="shared" ca="1" si="10"/>
        <v>0</v>
      </c>
      <c r="Q14" s="65">
        <f ca="1">Q5*$D$14</f>
        <v>0</v>
      </c>
      <c r="R14" s="65">
        <f ca="1">R5*$D$14</f>
        <v>0</v>
      </c>
      <c r="S14" s="65">
        <f ca="1">S5*$D$14</f>
        <v>0</v>
      </c>
      <c r="T14" s="65">
        <f t="shared" ca="1" si="10"/>
        <v>0</v>
      </c>
      <c r="U14" s="65">
        <f t="shared" ca="1" si="10"/>
        <v>0</v>
      </c>
      <c r="V14" s="65">
        <f ca="1">V5*$D$14</f>
        <v>15.699477227199299</v>
      </c>
      <c r="W14" s="65">
        <f t="shared" ca="1" si="10"/>
        <v>15.699477227199299</v>
      </c>
      <c r="X14" s="65">
        <f t="shared" ref="X14:AB14" ca="1" si="11">X5*$D$14</f>
        <v>15.827498997122495</v>
      </c>
      <c r="Y14" s="65">
        <f t="shared" ca="1" si="11"/>
        <v>15.827498997122493</v>
      </c>
      <c r="Z14" s="65">
        <f t="shared" ca="1" si="11"/>
        <v>15.827498997122495</v>
      </c>
      <c r="AA14" s="65">
        <f t="shared" ca="1" si="11"/>
        <v>15.961921855541851</v>
      </c>
      <c r="AB14" s="65">
        <f t="shared" ca="1" si="11"/>
        <v>15.961921855541851</v>
      </c>
    </row>
    <row r="15" spans="2:28" ht="24.9" customHeight="1">
      <c r="B15" s="26">
        <v>2</v>
      </c>
      <c r="C15" s="86" t="s">
        <v>501</v>
      </c>
      <c r="D15" s="92">
        <v>0.03</v>
      </c>
      <c r="E15" s="65">
        <f t="shared" ca="1" si="5"/>
        <v>47.487983638649901</v>
      </c>
      <c r="F15" s="65">
        <f>F5*$D$15</f>
        <v>0</v>
      </c>
      <c r="G15" s="65">
        <f t="shared" ref="G15:W15" si="12">G5*$D$15</f>
        <v>0</v>
      </c>
      <c r="H15" s="65">
        <f>H5*$D$15</f>
        <v>0</v>
      </c>
      <c r="I15" s="65">
        <f t="shared" ca="1" si="12"/>
        <v>0</v>
      </c>
      <c r="J15" s="65">
        <f t="shared" ca="1" si="12"/>
        <v>0</v>
      </c>
      <c r="K15" s="65">
        <f t="shared" ca="1" si="12"/>
        <v>0</v>
      </c>
      <c r="L15" s="65">
        <f t="shared" ca="1" si="12"/>
        <v>0</v>
      </c>
      <c r="M15" s="65">
        <f t="shared" ca="1" si="12"/>
        <v>0</v>
      </c>
      <c r="N15" s="65">
        <f t="shared" ca="1" si="12"/>
        <v>0</v>
      </c>
      <c r="O15" s="65">
        <f t="shared" ca="1" si="12"/>
        <v>0</v>
      </c>
      <c r="P15" s="65">
        <f t="shared" ca="1" si="12"/>
        <v>0</v>
      </c>
      <c r="Q15" s="65">
        <f t="shared" ca="1" si="12"/>
        <v>0</v>
      </c>
      <c r="R15" s="65">
        <f ca="1">R5*$D$15</f>
        <v>0</v>
      </c>
      <c r="S15" s="65">
        <f t="shared" ca="1" si="12"/>
        <v>0</v>
      </c>
      <c r="T15" s="65">
        <f t="shared" ca="1" si="12"/>
        <v>0</v>
      </c>
      <c r="U15" s="65">
        <f t="shared" ca="1" si="12"/>
        <v>0</v>
      </c>
      <c r="V15" s="65">
        <f t="shared" ca="1" si="12"/>
        <v>6.7283473830854126</v>
      </c>
      <c r="W15" s="65">
        <f t="shared" ca="1" si="12"/>
        <v>6.7283473830854126</v>
      </c>
      <c r="X15" s="65">
        <f t="shared" ref="X15:AB15" ca="1" si="13">X5*$D$15</f>
        <v>6.78321385590964</v>
      </c>
      <c r="Y15" s="65">
        <f t="shared" ca="1" si="13"/>
        <v>6.7832138559096391</v>
      </c>
      <c r="Z15" s="65">
        <f t="shared" ca="1" si="13"/>
        <v>6.78321385590964</v>
      </c>
      <c r="AA15" s="65">
        <f t="shared" ca="1" si="13"/>
        <v>6.8408236523750778</v>
      </c>
      <c r="AB15" s="65">
        <f t="shared" ca="1" si="13"/>
        <v>6.8408236523750778</v>
      </c>
    </row>
    <row r="16" spans="2:28" ht="24.9" customHeight="1">
      <c r="B16" s="26">
        <v>3</v>
      </c>
      <c r="C16" s="87" t="s">
        <v>499</v>
      </c>
      <c r="D16" s="92">
        <v>0.02</v>
      </c>
      <c r="E16" s="65">
        <f t="shared" ca="1" si="5"/>
        <v>31.658655759099929</v>
      </c>
      <c r="F16" s="65">
        <f>F5*$D$16</f>
        <v>0</v>
      </c>
      <c r="G16" s="65">
        <f t="shared" ref="G16:W16" si="14">G5*$D$16</f>
        <v>0</v>
      </c>
      <c r="H16" s="65">
        <f t="shared" si="14"/>
        <v>0</v>
      </c>
      <c r="I16" s="65">
        <f t="shared" ca="1" si="14"/>
        <v>0</v>
      </c>
      <c r="J16" s="65">
        <f t="shared" ca="1" si="14"/>
        <v>0</v>
      </c>
      <c r="K16" s="65">
        <f t="shared" ca="1" si="14"/>
        <v>0</v>
      </c>
      <c r="L16" s="65">
        <f t="shared" ca="1" si="14"/>
        <v>0</v>
      </c>
      <c r="M16" s="65">
        <f t="shared" ca="1" si="14"/>
        <v>0</v>
      </c>
      <c r="N16" s="65">
        <f t="shared" ca="1" si="14"/>
        <v>0</v>
      </c>
      <c r="O16" s="65">
        <f t="shared" ca="1" si="14"/>
        <v>0</v>
      </c>
      <c r="P16" s="65">
        <f t="shared" ca="1" si="14"/>
        <v>0</v>
      </c>
      <c r="Q16" s="65">
        <f t="shared" ca="1" si="14"/>
        <v>0</v>
      </c>
      <c r="R16" s="65">
        <f t="shared" ca="1" si="14"/>
        <v>0</v>
      </c>
      <c r="S16" s="65">
        <f t="shared" ca="1" si="14"/>
        <v>0</v>
      </c>
      <c r="T16" s="65">
        <f t="shared" ca="1" si="14"/>
        <v>0</v>
      </c>
      <c r="U16" s="65">
        <f t="shared" ca="1" si="14"/>
        <v>0</v>
      </c>
      <c r="V16" s="65">
        <f t="shared" ca="1" si="14"/>
        <v>4.485564922056942</v>
      </c>
      <c r="W16" s="65">
        <f t="shared" ca="1" si="14"/>
        <v>4.485564922056942</v>
      </c>
      <c r="X16" s="65">
        <f t="shared" ref="X16:AB16" ca="1" si="15">X5*$D$16</f>
        <v>4.5221425706064267</v>
      </c>
      <c r="Y16" s="65">
        <f t="shared" ca="1" si="15"/>
        <v>4.5221425706064267</v>
      </c>
      <c r="Z16" s="65">
        <f t="shared" ca="1" si="15"/>
        <v>4.5221425706064267</v>
      </c>
      <c r="AA16" s="65">
        <f t="shared" ca="1" si="15"/>
        <v>4.5605491015833852</v>
      </c>
      <c r="AB16" s="65">
        <f t="shared" ca="1" si="15"/>
        <v>4.5605491015833852</v>
      </c>
    </row>
    <row r="17" spans="2:28" ht="24.9" customHeight="1">
      <c r="B17" s="26">
        <v>4</v>
      </c>
      <c r="C17" s="87" t="s">
        <v>128</v>
      </c>
      <c r="D17" s="92">
        <v>1E-3</v>
      </c>
      <c r="E17" s="65">
        <f t="shared" ca="1" si="5"/>
        <v>65.190401285920714</v>
      </c>
      <c r="F17" s="65"/>
      <c r="G17" s="65"/>
      <c r="H17" s="65"/>
      <c r="I17" s="65">
        <f>('5政府补贴测算'!I10+'5政府补贴测算'!I9)*$D$17</f>
        <v>0</v>
      </c>
      <c r="J17" s="65">
        <f ca="1">('5政府补贴测算'!J10+'5政府补贴测算'!J9)*$D$17</f>
        <v>3.4117318901094067</v>
      </c>
      <c r="K17" s="65">
        <f ca="1">('5政府补贴测算'!K10+'5政府补贴测算'!K9)*$D$17</f>
        <v>3.4136456501094066</v>
      </c>
      <c r="L17" s="65">
        <f ca="1">('5政府补贴测算'!L10+'5政府补贴测算'!L9)*$D$17</f>
        <v>3.4155976853094066</v>
      </c>
      <c r="M17" s="65">
        <f ca="1">('5政府补贴测算'!M10+'5政府补贴测算'!M9)*$D$17</f>
        <v>3.4175887612134068</v>
      </c>
      <c r="N17" s="65">
        <f ca="1">('5政府补贴测算'!N10+'5政府补贴测算'!N9)*$D$17</f>
        <v>3.4196196586354866</v>
      </c>
      <c r="O17" s="65">
        <f ca="1">('5政府补贴测算'!O10+'5政府补贴测算'!O9)*$D$17</f>
        <v>3.4216911740060079</v>
      </c>
      <c r="P17" s="65">
        <f ca="1">('5政府补贴测算'!P10+'5政府补贴测算'!P9)*$D$17</f>
        <v>3.4238041196839406</v>
      </c>
      <c r="Q17" s="65">
        <f ca="1">('5政府补贴测算'!Q10+'5政府补贴测算'!Q9)*$D$17</f>
        <v>3.4259593242754307</v>
      </c>
      <c r="R17" s="65">
        <f ca="1">('5政府补贴测算'!R10+'5政府补贴测算'!R9)*$D$17</f>
        <v>3.4281576329587518</v>
      </c>
      <c r="S17" s="65">
        <f ca="1">('5政府补贴测算'!G16+'5政府补贴测算'!G15)*$D$17</f>
        <v>3.4303999078157386</v>
      </c>
      <c r="T17" s="65">
        <f ca="1">('5政府补贴测算'!H16+'5政府补贴测算'!H15)*$D$17</f>
        <v>3.4326870281698647</v>
      </c>
      <c r="U17" s="65">
        <f ca="1">('5政府补贴测算'!I16+'5政府补贴测算'!I15)*$D$17</f>
        <v>3.4350198909310747</v>
      </c>
      <c r="V17" s="65">
        <f ca="1">('5政府补贴测算'!J16+'5政府补贴测算'!J15)*$D$17</f>
        <v>3.4373994109475077</v>
      </c>
      <c r="W17" s="65">
        <f ca="1">('5政府补贴测算'!K16+'5政府补贴测算'!K15)*$D$17</f>
        <v>3.4398265213642696</v>
      </c>
      <c r="X17" s="65">
        <f ca="1">('5政府补贴测算'!L16+'5政府补贴测算'!L15)*$D$17</f>
        <v>3.4423021739893667</v>
      </c>
      <c r="Y17" s="65">
        <f ca="1">('5政府补贴测算'!M16+'5政府补贴测算'!M15)*$D$17</f>
        <v>3.4448273396669662</v>
      </c>
      <c r="Z17" s="65">
        <f ca="1">('5政府补贴测算'!N16+'5政府补贴测算'!N15)*$D$17</f>
        <v>3.4474030086581169</v>
      </c>
      <c r="AA17" s="65">
        <f ca="1">('5政府补贴测算'!O16+'5政府补贴测算'!O15)*$D$17</f>
        <v>3.4500301910290916</v>
      </c>
      <c r="AB17" s="65">
        <f ca="1">('5政府补贴测算'!P16+'5政府补贴测算'!P15)*$D$17</f>
        <v>3.4527099170474851</v>
      </c>
    </row>
    <row r="18" spans="2:28" ht="24.9" customHeight="1">
      <c r="B18" s="61" t="s">
        <v>129</v>
      </c>
      <c r="C18" s="597" t="s">
        <v>130</v>
      </c>
      <c r="D18" s="597"/>
      <c r="E18" s="65">
        <f t="shared" ca="1" si="5"/>
        <v>4448.7257986435498</v>
      </c>
      <c r="F18" s="94"/>
      <c r="G18" s="94"/>
      <c r="H18" s="94"/>
      <c r="I18" s="65">
        <f t="shared" ref="I18:W18" ca="1" si="16">I6-I9</f>
        <v>217.79311953709123</v>
      </c>
      <c r="J18" s="65">
        <f t="shared" ca="1" si="16"/>
        <v>217.79311953709123</v>
      </c>
      <c r="K18" s="65">
        <f t="shared" ca="1" si="16"/>
        <v>217.79311953709123</v>
      </c>
      <c r="L18" s="65">
        <f t="shared" ca="1" si="16"/>
        <v>219.29774563627765</v>
      </c>
      <c r="M18" s="65">
        <f t="shared" ca="1" si="16"/>
        <v>219.29774563627763</v>
      </c>
      <c r="N18" s="65">
        <f t="shared" ca="1" si="16"/>
        <v>219.29774563627763</v>
      </c>
      <c r="O18" s="65">
        <f t="shared" ca="1" si="16"/>
        <v>220.87760304042342</v>
      </c>
      <c r="P18" s="65">
        <f t="shared" ca="1" si="16"/>
        <v>220.87760304042337</v>
      </c>
      <c r="Q18" s="65">
        <f t="shared" ca="1" si="16"/>
        <v>220.87760304042339</v>
      </c>
      <c r="R18" s="65">
        <f t="shared" ca="1" si="16"/>
        <v>222.53645331477642</v>
      </c>
      <c r="S18" s="65">
        <f t="shared" ca="1" si="16"/>
        <v>222.5364533147764</v>
      </c>
      <c r="T18" s="65">
        <f t="shared" ca="1" si="16"/>
        <v>222.53645331477648</v>
      </c>
      <c r="U18" s="65">
        <f t="shared" ca="1" si="16"/>
        <v>224.27824610284711</v>
      </c>
      <c r="V18" s="65">
        <f t="shared" ca="1" si="16"/>
        <v>224.27824610284711</v>
      </c>
      <c r="W18" s="65">
        <f t="shared" ca="1" si="16"/>
        <v>224.27824610284711</v>
      </c>
      <c r="X18" s="65">
        <f t="shared" ref="X18:AB18" ca="1" si="17">X6-X9</f>
        <v>226.10712853032135</v>
      </c>
      <c r="Y18" s="65">
        <f t="shared" ca="1" si="17"/>
        <v>226.10712853032132</v>
      </c>
      <c r="Z18" s="65">
        <f t="shared" ca="1" si="17"/>
        <v>226.10712853032135</v>
      </c>
      <c r="AA18" s="65">
        <f t="shared" ca="1" si="17"/>
        <v>228.02745507916927</v>
      </c>
      <c r="AB18" s="65">
        <f t="shared" ca="1" si="17"/>
        <v>228.02745507916927</v>
      </c>
    </row>
    <row r="19" spans="2:28" ht="24.9" customHeight="1">
      <c r="B19" s="61" t="s">
        <v>131</v>
      </c>
      <c r="C19" s="88" t="s">
        <v>132</v>
      </c>
      <c r="E19" s="65">
        <f t="shared" ca="1" si="5"/>
        <v>-499.65878607675552</v>
      </c>
      <c r="F19" s="94">
        <f>F6-F9</f>
        <v>-1591.2380167248518</v>
      </c>
      <c r="G19" s="94">
        <f>G6-G9</f>
        <v>-1678.5732839977263</v>
      </c>
      <c r="H19" s="94">
        <f>H6-H9</f>
        <v>-1678.5732839977263</v>
      </c>
      <c r="I19" s="94">
        <f ca="1">I6-I9</f>
        <v>217.79311953709123</v>
      </c>
      <c r="J19" s="94">
        <f t="shared" ref="J19:W19" ca="1" si="18">J6-J9</f>
        <v>217.79311953709123</v>
      </c>
      <c r="K19" s="94">
        <f t="shared" ca="1" si="18"/>
        <v>217.79311953709123</v>
      </c>
      <c r="L19" s="94">
        <f t="shared" ca="1" si="18"/>
        <v>219.29774563627765</v>
      </c>
      <c r="M19" s="94">
        <f t="shared" ca="1" si="18"/>
        <v>219.29774563627763</v>
      </c>
      <c r="N19" s="94">
        <f t="shared" ca="1" si="18"/>
        <v>219.29774563627763</v>
      </c>
      <c r="O19" s="94">
        <f t="shared" ca="1" si="18"/>
        <v>220.87760304042342</v>
      </c>
      <c r="P19" s="94">
        <f t="shared" ca="1" si="18"/>
        <v>220.87760304042337</v>
      </c>
      <c r="Q19" s="94">
        <f t="shared" ca="1" si="18"/>
        <v>220.87760304042339</v>
      </c>
      <c r="R19" s="94">
        <f t="shared" ca="1" si="18"/>
        <v>222.53645331477642</v>
      </c>
      <c r="S19" s="94">
        <f t="shared" ca="1" si="18"/>
        <v>222.5364533147764</v>
      </c>
      <c r="T19" s="94">
        <f t="shared" ca="1" si="18"/>
        <v>222.53645331477648</v>
      </c>
      <c r="U19" s="94">
        <f t="shared" ca="1" si="18"/>
        <v>224.27824610284711</v>
      </c>
      <c r="V19" s="94">
        <f t="shared" ca="1" si="18"/>
        <v>224.27824610284711</v>
      </c>
      <c r="W19" s="94">
        <f t="shared" ca="1" si="18"/>
        <v>224.27824610284711</v>
      </c>
      <c r="X19" s="94">
        <f t="shared" ref="X19:AB19" ca="1" si="19">X6-X9</f>
        <v>226.10712853032135</v>
      </c>
      <c r="Y19" s="94">
        <f t="shared" ca="1" si="19"/>
        <v>226.10712853032132</v>
      </c>
      <c r="Z19" s="94">
        <f t="shared" ca="1" si="19"/>
        <v>226.10712853032135</v>
      </c>
      <c r="AA19" s="94">
        <f t="shared" ca="1" si="19"/>
        <v>228.02745507916927</v>
      </c>
      <c r="AB19" s="94">
        <f t="shared" ca="1" si="19"/>
        <v>228.02745507916927</v>
      </c>
    </row>
    <row r="20" spans="2:28" ht="24.9" customHeight="1">
      <c r="B20" s="61" t="s">
        <v>133</v>
      </c>
      <c r="C20" s="73" t="s">
        <v>134</v>
      </c>
      <c r="D20" s="25"/>
      <c r="E20" s="206"/>
      <c r="F20" s="94">
        <f>F19</f>
        <v>-1591.2380167248518</v>
      </c>
      <c r="G20" s="94">
        <f>F20+G19</f>
        <v>-3269.8113007225784</v>
      </c>
      <c r="H20" s="94">
        <f>G20+H19</f>
        <v>-4948.3845847203047</v>
      </c>
      <c r="I20" s="94">
        <f t="shared" ref="I20:W20" ca="1" si="20">H20+I19</f>
        <v>-4730.5914651832136</v>
      </c>
      <c r="J20" s="94">
        <f t="shared" ca="1" si="20"/>
        <v>-4512.7983456461225</v>
      </c>
      <c r="K20" s="94">
        <f t="shared" ca="1" si="20"/>
        <v>-4295.0052261090314</v>
      </c>
      <c r="L20" s="94">
        <f t="shared" ca="1" si="20"/>
        <v>-4075.7074804727536</v>
      </c>
      <c r="M20" s="94">
        <f t="shared" ca="1" si="20"/>
        <v>-3856.4097348364758</v>
      </c>
      <c r="N20" s="94">
        <f t="shared" ca="1" si="20"/>
        <v>-3637.111989200198</v>
      </c>
      <c r="O20" s="94">
        <f t="shared" ca="1" si="20"/>
        <v>-3416.2343861597747</v>
      </c>
      <c r="P20" s="94">
        <f t="shared" ca="1" si="20"/>
        <v>-3195.3567831193513</v>
      </c>
      <c r="Q20" s="94">
        <f t="shared" ca="1" si="20"/>
        <v>-2974.479180078928</v>
      </c>
      <c r="R20" s="94">
        <f t="shared" ca="1" si="20"/>
        <v>-2751.9427267641518</v>
      </c>
      <c r="S20" s="94">
        <f t="shared" ca="1" si="20"/>
        <v>-2529.4062734493755</v>
      </c>
      <c r="T20" s="94">
        <f t="shared" ca="1" si="20"/>
        <v>-2306.8698201345992</v>
      </c>
      <c r="U20" s="94">
        <f t="shared" ca="1" si="20"/>
        <v>-2082.5915740317523</v>
      </c>
      <c r="V20" s="94">
        <f t="shared" ca="1" si="20"/>
        <v>-1858.3133279289052</v>
      </c>
      <c r="W20" s="94">
        <f t="shared" ca="1" si="20"/>
        <v>-1634.0350818260581</v>
      </c>
      <c r="X20" s="94">
        <f t="shared" ref="X20" ca="1" si="21">W20+X19</f>
        <v>-1407.9279532957366</v>
      </c>
      <c r="Y20" s="94">
        <f t="shared" ref="Y20" ca="1" si="22">X20+Y19</f>
        <v>-1181.8208247654154</v>
      </c>
      <c r="Z20" s="94">
        <f t="shared" ref="Z20" ca="1" si="23">Y20+Z19</f>
        <v>-955.71369623509406</v>
      </c>
      <c r="AA20" s="94">
        <f t="shared" ref="AA20" ca="1" si="24">Z20+AA19</f>
        <v>-727.68624115592479</v>
      </c>
      <c r="AB20" s="94">
        <f t="shared" ref="AB20" ca="1" si="25">AA20+AB19</f>
        <v>-499.65878607675552</v>
      </c>
    </row>
  </sheetData>
  <mergeCells count="7">
    <mergeCell ref="I3:AB3"/>
    <mergeCell ref="F3:H3"/>
    <mergeCell ref="C18:D18"/>
    <mergeCell ref="B3:B4"/>
    <mergeCell ref="C3:C4"/>
    <mergeCell ref="D3:D4"/>
    <mergeCell ref="E3:E4"/>
  </mergeCells>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5"/>
  <sheetViews>
    <sheetView topLeftCell="A10" zoomScale="70" zoomScaleNormal="70" workbookViewId="0">
      <selection activeCell="D12" sqref="D12"/>
    </sheetView>
  </sheetViews>
  <sheetFormatPr defaultColWidth="11" defaultRowHeight="15.6"/>
  <cols>
    <col min="2" max="2" width="11.08984375" bestFit="1" customWidth="1"/>
    <col min="3" max="3" width="24.08984375" bestFit="1" customWidth="1"/>
    <col min="4" max="4" width="15.6328125" customWidth="1"/>
    <col min="5" max="5" width="11.08984375" bestFit="1" customWidth="1"/>
    <col min="6" max="6" width="12.453125" bestFit="1" customWidth="1"/>
    <col min="7" max="8" width="11.453125" bestFit="1" customWidth="1"/>
    <col min="9" max="13" width="12.6328125" bestFit="1" customWidth="1"/>
    <col min="14" max="14" width="12.453125" bestFit="1" customWidth="1"/>
    <col min="15" max="16" width="13.453125" bestFit="1" customWidth="1"/>
    <col min="17" max="21" width="11.36328125" bestFit="1" customWidth="1"/>
    <col min="22" max="22" width="12.453125" bestFit="1" customWidth="1"/>
  </cols>
  <sheetData>
    <row r="2" spans="1:27" ht="24.9" customHeight="1">
      <c r="C2" s="71" t="s">
        <v>356</v>
      </c>
      <c r="D2" s="367">
        <v>0.25</v>
      </c>
    </row>
    <row r="3" spans="1:27" ht="24.9" customHeight="1">
      <c r="C3" s="71" t="s">
        <v>357</v>
      </c>
      <c r="D3" s="367">
        <v>0.1</v>
      </c>
    </row>
    <row r="4" spans="1:27">
      <c r="B4" s="205" t="s">
        <v>372</v>
      </c>
    </row>
    <row r="5" spans="1:27" ht="24.9" customHeight="1">
      <c r="B5" s="600" t="s">
        <v>345</v>
      </c>
      <c r="C5" s="601" t="s">
        <v>135</v>
      </c>
      <c r="D5" s="602" t="s">
        <v>85</v>
      </c>
      <c r="E5" s="603" t="s">
        <v>75</v>
      </c>
      <c r="F5" s="604"/>
      <c r="G5" s="605"/>
      <c r="H5" s="602" t="s">
        <v>497</v>
      </c>
      <c r="I5" s="602"/>
      <c r="J5" s="602"/>
      <c r="K5" s="602"/>
      <c r="L5" s="602"/>
      <c r="M5" s="602"/>
      <c r="N5" s="602"/>
      <c r="O5" s="602"/>
      <c r="P5" s="602"/>
      <c r="Q5" s="602"/>
      <c r="R5" s="602"/>
      <c r="S5" s="602"/>
      <c r="T5" s="602"/>
      <c r="U5" s="602"/>
      <c r="V5" s="602"/>
      <c r="W5" s="602"/>
      <c r="X5" s="602"/>
      <c r="Y5" s="602"/>
      <c r="Z5" s="602"/>
      <c r="AA5" s="602"/>
    </row>
    <row r="6" spans="1:27" ht="24.9" customHeight="1">
      <c r="B6" s="600"/>
      <c r="C6" s="600"/>
      <c r="D6" s="602"/>
      <c r="E6" s="241">
        <v>1</v>
      </c>
      <c r="F6" s="241">
        <v>2</v>
      </c>
      <c r="G6" s="241">
        <v>3</v>
      </c>
      <c r="H6" s="241">
        <v>4</v>
      </c>
      <c r="I6" s="241">
        <v>5</v>
      </c>
      <c r="J6" s="241">
        <v>6</v>
      </c>
      <c r="K6" s="241">
        <v>7</v>
      </c>
      <c r="L6" s="241">
        <v>8</v>
      </c>
      <c r="M6" s="241">
        <v>9</v>
      </c>
      <c r="N6" s="241">
        <v>10</v>
      </c>
      <c r="O6" s="241">
        <v>11</v>
      </c>
      <c r="P6" s="241">
        <v>12</v>
      </c>
      <c r="Q6" s="241">
        <v>13</v>
      </c>
      <c r="R6" s="241">
        <v>14</v>
      </c>
      <c r="S6" s="241">
        <v>15</v>
      </c>
      <c r="T6" s="241">
        <v>16</v>
      </c>
      <c r="U6" s="241">
        <v>17</v>
      </c>
      <c r="V6" s="241">
        <v>18</v>
      </c>
      <c r="W6" s="328">
        <v>19</v>
      </c>
      <c r="X6" s="328">
        <v>20</v>
      </c>
      <c r="Y6" s="328">
        <v>21</v>
      </c>
      <c r="Z6" s="328">
        <v>22</v>
      </c>
      <c r="AA6" s="328">
        <v>23</v>
      </c>
    </row>
    <row r="7" spans="1:27" ht="24.9" customHeight="1">
      <c r="A7" s="208"/>
      <c r="B7" s="61">
        <v>1</v>
      </c>
      <c r="C7" s="93" t="s">
        <v>136</v>
      </c>
      <c r="D7" s="94">
        <f ca="1">SUM(E7:AA7)</f>
        <v>64065.516834977447</v>
      </c>
      <c r="E7" s="94">
        <f>E8+E9</f>
        <v>0</v>
      </c>
      <c r="F7" s="94">
        <f t="shared" ref="F7:V7" si="0">F8+F9</f>
        <v>0</v>
      </c>
      <c r="G7" s="94">
        <f t="shared" si="0"/>
        <v>0</v>
      </c>
      <c r="H7" s="94">
        <f ca="1">H8+H9</f>
        <v>3188.5224686855231</v>
      </c>
      <c r="I7" s="94">
        <f t="shared" ca="1" si="0"/>
        <v>3190.3279026477871</v>
      </c>
      <c r="J7" s="94">
        <f t="shared" ca="1" si="0"/>
        <v>3192.1694452892966</v>
      </c>
      <c r="K7" s="94">
        <f t="shared" ca="1" si="0"/>
        <v>3192.5431926844499</v>
      </c>
      <c r="L7" s="94">
        <f t="shared" ca="1" si="0"/>
        <v>3194.459133648676</v>
      </c>
      <c r="M7" s="94">
        <f t="shared" ca="1" si="0"/>
        <v>3196.4133934321867</v>
      </c>
      <c r="N7" s="94">
        <f t="shared" ca="1" si="0"/>
        <v>3196.8268810072223</v>
      </c>
      <c r="O7" s="94">
        <f t="shared" ca="1" si="0"/>
        <v>3198.8600928859869</v>
      </c>
      <c r="P7" s="94">
        <f t="shared" ca="1" si="0"/>
        <v>3200.9339690023271</v>
      </c>
      <c r="Q7" s="94">
        <f t="shared" ca="1" si="0"/>
        <v>3201.390472366641</v>
      </c>
      <c r="R7" s="94">
        <f t="shared" ca="1" si="0"/>
        <v>3203.5481330780813</v>
      </c>
      <c r="S7" s="94">
        <f t="shared" ca="1" si="0"/>
        <v>3205.7489470037508</v>
      </c>
      <c r="T7" s="94">
        <f t="shared" ca="1" si="0"/>
        <v>3206.2519844198623</v>
      </c>
      <c r="U7" s="94">
        <f t="shared" ca="1" si="0"/>
        <v>3208.5417112281284</v>
      </c>
      <c r="V7" s="94">
        <f t="shared" ca="1" si="0"/>
        <v>3210.8772325725595</v>
      </c>
      <c r="W7" s="94">
        <f t="shared" ref="W7:AA7" ca="1" si="1">W8+W9</f>
        <v>3211.4305819164056</v>
      </c>
      <c r="X7" s="94">
        <f t="shared" ca="1" si="1"/>
        <v>3213.8604583231518</v>
      </c>
      <c r="Y7" s="94">
        <f t="shared" ca="1" si="1"/>
        <v>3216.3389322580333</v>
      </c>
      <c r="Z7" s="94">
        <f t="shared" ca="1" si="1"/>
        <v>3216.946649122764</v>
      </c>
      <c r="AA7" s="94">
        <f t="shared" ca="1" si="1"/>
        <v>3219.5252534046149</v>
      </c>
    </row>
    <row r="8" spans="1:27" ht="24.9" customHeight="1">
      <c r="A8" s="208"/>
      <c r="B8" s="82">
        <v>1.1000000000000001</v>
      </c>
      <c r="C8" s="95" t="s">
        <v>119</v>
      </c>
      <c r="D8" s="94">
        <f ca="1">SUM(E8:AA8)</f>
        <v>39518.96088728161</v>
      </c>
      <c r="E8" s="94">
        <f>'5政府补贴测算'!G10-'8税金及附加'!F7</f>
        <v>0</v>
      </c>
      <c r="F8" s="94">
        <f>'5政府补贴测算'!H10-'8税金及附加'!G7</f>
        <v>0</v>
      </c>
      <c r="G8" s="94">
        <f>'5政府补贴测算'!I10-'8税金及附加'!H7</f>
        <v>0</v>
      </c>
      <c r="H8" s="94">
        <f ca="1">'5政府补贴测算'!J10-'8税金及附加'!I7</f>
        <v>2125.2533585937799</v>
      </c>
      <c r="I8" s="94">
        <f ca="1">'5政府补贴测算'!K10-'8税金及附加'!J7</f>
        <v>2127.058792556044</v>
      </c>
      <c r="J8" s="94">
        <f ca="1">'5政府补贴测算'!L10-'8税金及附加'!K7</f>
        <v>2128.9003351975534</v>
      </c>
      <c r="K8" s="94">
        <f ca="1">'5政府补贴测算'!M10-'8税金及附加'!L7</f>
        <v>2076.1106270881196</v>
      </c>
      <c r="L8" s="94">
        <f ca="1">'5政府补贴测算'!N10-'8税金及附加'!M7</f>
        <v>2078.0265680523457</v>
      </c>
      <c r="M8" s="94">
        <f ca="1">'5政府补贴测算'!O10-'8税金及附加'!N7</f>
        <v>2079.9808278358564</v>
      </c>
      <c r="N8" s="94">
        <f ca="1">'5政府补贴测算'!P10-'8税金及附加'!O7</f>
        <v>2024.5726871310756</v>
      </c>
      <c r="O8" s="94">
        <f ca="1">'5政府补贴测算'!Q10-'8税金及附加'!P7</f>
        <v>2026.6058990098402</v>
      </c>
      <c r="P8" s="94">
        <f ca="1">'5政府补贴测算'!R10-'8税金及附加'!Q7</f>
        <v>2028.6797751261804</v>
      </c>
      <c r="Q8" s="94">
        <f ca="1">'5政府补贴测算'!G16-'8税金及附加'!R7</f>
        <v>1970.523568796687</v>
      </c>
      <c r="R8" s="94">
        <f ca="1">'5政府补贴测算'!H16-'8税金及附加'!S7</f>
        <v>1972.6812295081268</v>
      </c>
      <c r="S8" s="94">
        <f ca="1">'5政府补贴测算'!I16-'8税金及附加'!T7</f>
        <v>1974.8820434337965</v>
      </c>
      <c r="T8" s="94">
        <f ca="1">'5政府补贴测算'!J16-'8税金及附加'!U7</f>
        <v>1913.8417356714101</v>
      </c>
      <c r="U8" s="94">
        <f ca="1">'5政府补贴测算'!K16-'8税金及附加'!V7</f>
        <v>1916.131462479676</v>
      </c>
      <c r="V8" s="94">
        <f ca="1">'5政府补贴测算'!L16-'8税金及附加'!W7</f>
        <v>1918.4669838241073</v>
      </c>
      <c r="W8" s="94">
        <f ca="1">'5政府补贴测算'!M16-'8税金及附加'!X7</f>
        <v>1854.3998207305306</v>
      </c>
      <c r="X8" s="94">
        <f ca="1">'5政府补贴测算'!N16-'8税金及附加'!Y7</f>
        <v>1856.8296971372768</v>
      </c>
      <c r="Y8" s="94">
        <f ca="1">'5政府补贴测算'!O16-'8税金及附加'!Z7</f>
        <v>1859.3081710721583</v>
      </c>
      <c r="Z8" s="94">
        <f ca="1">'5政府补贴测算'!P16-'8税金及附加'!AA7</f>
        <v>1792.0643498775953</v>
      </c>
      <c r="AA8" s="94">
        <f ca="1">'5政府补贴测算'!Q16-'8税金及附加'!AB7</f>
        <v>1794.6429541594459</v>
      </c>
    </row>
    <row r="9" spans="1:27" ht="24.9" customHeight="1">
      <c r="A9" s="208"/>
      <c r="B9" s="82">
        <v>1.2</v>
      </c>
      <c r="C9" s="95" t="s">
        <v>137</v>
      </c>
      <c r="D9" s="94">
        <f t="shared" ref="D9:D24" si="2">SUM(E9:AA9)</f>
        <v>24546.555947695837</v>
      </c>
      <c r="E9" s="94">
        <f>'5政府补贴测算'!G9-'8税金及附加'!F8</f>
        <v>0</v>
      </c>
      <c r="F9" s="94">
        <f>'5政府补贴测算'!H9-'8税金及附加'!G8</f>
        <v>0</v>
      </c>
      <c r="G9" s="94">
        <f>'5政府补贴测算'!I9-'8税金及附加'!H8</f>
        <v>0</v>
      </c>
      <c r="H9" s="94">
        <f>'5政府补贴测算'!J9-'8税金及附加'!I8</f>
        <v>1063.2691100917432</v>
      </c>
      <c r="I9" s="94">
        <f>'5政府补贴测算'!K9-'8税金及附加'!J8</f>
        <v>1063.2691100917432</v>
      </c>
      <c r="J9" s="94">
        <f>'5政府补贴测算'!L9-'8税金及附加'!K8</f>
        <v>1063.2691100917432</v>
      </c>
      <c r="K9" s="94">
        <f>'5政府补贴测算'!M9-'8税金及附加'!L8</f>
        <v>1116.4325655963303</v>
      </c>
      <c r="L9" s="94">
        <f>'5政府补贴测算'!N9-'8税金及附加'!M8</f>
        <v>1116.4325655963303</v>
      </c>
      <c r="M9" s="94">
        <f>'5政府补贴测算'!O9-'8税金及附加'!N8</f>
        <v>1116.4325655963303</v>
      </c>
      <c r="N9" s="94">
        <f>'5政府补贴测算'!P9-'8税金及附加'!O8</f>
        <v>1172.2541938761469</v>
      </c>
      <c r="O9" s="94">
        <f>'5政府补贴测算'!Q9-'8税金及附加'!P8</f>
        <v>1172.2541938761469</v>
      </c>
      <c r="P9" s="94">
        <f>'5政府补贴测算'!R9-'8税金及附加'!Q8</f>
        <v>1172.2541938761469</v>
      </c>
      <c r="Q9" s="94">
        <f>'5政府补贴测算'!G15-'8税金及附加'!R8</f>
        <v>1230.8669035699543</v>
      </c>
      <c r="R9" s="94">
        <f>'5政府补贴测算'!H15-'8税金及附加'!S8</f>
        <v>1230.8669035699543</v>
      </c>
      <c r="S9" s="94">
        <f>'5政府补贴测算'!I15-'8税金及附加'!T8</f>
        <v>1230.8669035699543</v>
      </c>
      <c r="T9" s="94">
        <f>'5政府补贴测算'!J15-'8税金及附加'!U8</f>
        <v>1292.4102487484522</v>
      </c>
      <c r="U9" s="94">
        <f>'5政府补贴测算'!K15-'8税金及附加'!V8</f>
        <v>1292.4102487484522</v>
      </c>
      <c r="V9" s="94">
        <f>'5政府补贴测算'!L15-'8税金及附加'!W8</f>
        <v>1292.4102487484522</v>
      </c>
      <c r="W9" s="94">
        <f>'5政府补贴测算'!M15-'8税金及附加'!X8</f>
        <v>1357.0307611858748</v>
      </c>
      <c r="X9" s="94">
        <f>'5政府补贴测算'!N15-'8税金及附加'!Y8</f>
        <v>1357.0307611858748</v>
      </c>
      <c r="Y9" s="94">
        <f>'5政府补贴测算'!O15-'8税金及附加'!Z8</f>
        <v>1357.0307611858748</v>
      </c>
      <c r="Z9" s="94">
        <f>'5政府补贴测算'!P15-'8税金及附加'!AA8</f>
        <v>1424.8822992451687</v>
      </c>
      <c r="AA9" s="94">
        <f>'5政府补贴测算'!Q15-'8税金及附加'!AB8</f>
        <v>1424.8822992451687</v>
      </c>
    </row>
    <row r="10" spans="1:27" ht="24.9" customHeight="1">
      <c r="A10" s="208"/>
      <c r="B10" s="61">
        <v>2</v>
      </c>
      <c r="C10" s="93" t="s">
        <v>138</v>
      </c>
      <c r="D10" s="94">
        <f ca="1">SUM(E10:AA10)</f>
        <v>101017.99588505994</v>
      </c>
      <c r="E10" s="94">
        <f>E11+E12+E13</f>
        <v>0</v>
      </c>
      <c r="F10" s="94">
        <f t="shared" ref="F10:V10" si="3">F11+F12+F13</f>
        <v>0</v>
      </c>
      <c r="G10" s="94">
        <f t="shared" si="3"/>
        <v>0</v>
      </c>
      <c r="H10" s="94">
        <f t="shared" ca="1" si="3"/>
        <v>6211.0241786666793</v>
      </c>
      <c r="I10" s="94">
        <f t="shared" ca="1" si="3"/>
        <v>6126.0404894202038</v>
      </c>
      <c r="J10" s="94">
        <f t="shared" ca="1" si="3"/>
        <v>6036.2500757779262</v>
      </c>
      <c r="K10" s="94">
        <f t="shared" ca="1" si="3"/>
        <v>5941.3834298278425</v>
      </c>
      <c r="L10" s="94">
        <f t="shared" ca="1" si="3"/>
        <v>5841.1559792626467</v>
      </c>
      <c r="M10" s="94">
        <f t="shared" ca="1" si="3"/>
        <v>5735.2672462693954</v>
      </c>
      <c r="N10" s="94">
        <f t="shared" ca="1" si="3"/>
        <v>5623.3999594748693</v>
      </c>
      <c r="O10" s="94">
        <f t="shared" ca="1" si="3"/>
        <v>5505.2191163269545</v>
      </c>
      <c r="P10" s="94">
        <f t="shared" ca="1" si="3"/>
        <v>5380.3709931461262</v>
      </c>
      <c r="Q10" s="94">
        <f t="shared" ca="1" si="3"/>
        <v>5248.4820999268431</v>
      </c>
      <c r="R10" s="94">
        <f t="shared" ca="1" si="3"/>
        <v>5109.1580768056592</v>
      </c>
      <c r="S10" s="94">
        <f t="shared" ca="1" si="3"/>
        <v>4961.9825289408427</v>
      </c>
      <c r="T10" s="94">
        <f t="shared" ca="1" si="3"/>
        <v>4806.5157963666315</v>
      </c>
      <c r="U10" s="94">
        <f t="shared" ca="1" si="3"/>
        <v>4642.2936551934708</v>
      </c>
      <c r="V10" s="94">
        <f t="shared" ca="1" si="3"/>
        <v>4468.8259463231097</v>
      </c>
      <c r="W10" s="94">
        <f t="shared" ref="W10:AA10" ca="1" si="4">W11+W12+W13</f>
        <v>4285.5951276336527</v>
      </c>
      <c r="X10" s="94">
        <f t="shared" ca="1" si="4"/>
        <v>4092.054745363911</v>
      </c>
      <c r="Y10" s="94">
        <f t="shared" ca="1" si="4"/>
        <v>3887.6278201881564</v>
      </c>
      <c r="Z10" s="94">
        <f t="shared" ca="1" si="4"/>
        <v>3671.7051432207254</v>
      </c>
      <c r="AA10" s="94">
        <f t="shared" ca="1" si="4"/>
        <v>3443.643476924306</v>
      </c>
    </row>
    <row r="11" spans="1:27" ht="24.9" customHeight="1">
      <c r="A11" s="208"/>
      <c r="B11" s="25">
        <v>2.1</v>
      </c>
      <c r="C11" s="94" t="s">
        <v>139</v>
      </c>
      <c r="D11" s="94">
        <f>SUM(E11:AA11)</f>
        <v>2193.3648314328666</v>
      </c>
      <c r="E11" s="94">
        <f>'5政府补贴测算'!G8-'8税金及附加'!F12</f>
        <v>0</v>
      </c>
      <c r="F11" s="94">
        <f>'5政府补贴测算'!H8-'8税金及附加'!G12</f>
        <v>0</v>
      </c>
      <c r="G11" s="94">
        <f>'5政府补贴测算'!I8-'8税金及附加'!H12</f>
        <v>0</v>
      </c>
      <c r="H11" s="94">
        <f>'5政府补贴测算'!J8-'8税金及附加'!I12</f>
        <v>90.271698113207535</v>
      </c>
      <c r="I11" s="94">
        <f>'5政府补贴测算'!K8-'8税金及附加'!J12</f>
        <v>92.077132075471681</v>
      </c>
      <c r="J11" s="94">
        <f>'5政府补贴测算'!L8-'8税金及附加'!K12</f>
        <v>93.918674716981116</v>
      </c>
      <c r="K11" s="94">
        <f>'5政府补贴测算'!M8-'8税金及附加'!L12</f>
        <v>95.797048211320742</v>
      </c>
      <c r="L11" s="94">
        <f>'5政府补贴测算'!N8-'8税金及附加'!M12</f>
        <v>97.71298917554715</v>
      </c>
      <c r="M11" s="94">
        <f>'5政府补贴测算'!O8-'8税金及附加'!N12</f>
        <v>99.667248959058099</v>
      </c>
      <c r="N11" s="94">
        <f>'5政府补贴测算'!P8-'8税金及附加'!O12</f>
        <v>101.66059393823926</v>
      </c>
      <c r="O11" s="94">
        <f>'5政府补贴测算'!Q8-'8税金及附加'!P12</f>
        <v>103.69380581700405</v>
      </c>
      <c r="P11" s="94">
        <f>'5政府补贴测算'!R8-'8税金及附加'!Q12</f>
        <v>105.76768193334412</v>
      </c>
      <c r="Q11" s="94">
        <f>'5政府补贴测算'!G14-'8税金及附加'!R12</f>
        <v>107.88303557201101</v>
      </c>
      <c r="R11" s="94">
        <f>'5政府补贴测算'!H14-'8税金及附加'!S12</f>
        <v>110.04069628345124</v>
      </c>
      <c r="S11" s="94">
        <f>'5政府补贴测算'!I14-'8税金及附加'!T12</f>
        <v>112.24151020912026</v>
      </c>
      <c r="T11" s="94">
        <f>'5政府补贴测算'!J14-'8税金及附加'!U12</f>
        <v>114.48634041330267</v>
      </c>
      <c r="U11" s="94">
        <f>'5政府补贴测算'!K14-'8税金及附加'!V12</f>
        <v>116.77606722156872</v>
      </c>
      <c r="V11" s="94">
        <f>'5政府补贴测算'!L14-'8税金及附加'!W12</f>
        <v>119.11158856600009</v>
      </c>
      <c r="W11" s="94">
        <f>'5政府补贴测算'!M14-'8税金及附加'!X12</f>
        <v>121.49382033732009</v>
      </c>
      <c r="X11" s="94">
        <f>'5政府补贴测算'!N14-'8税金及附加'!Y12</f>
        <v>123.92369674406649</v>
      </c>
      <c r="Y11" s="94">
        <f>'5政府补贴测算'!O14-'8税金及附加'!Z12</f>
        <v>126.40217067894784</v>
      </c>
      <c r="Z11" s="94">
        <f>'5政府补贴测算'!P14-'8税金及附加'!AA12</f>
        <v>128.9302140925268</v>
      </c>
      <c r="AA11" s="94">
        <f>'5政府补贴测算'!Q14-'8税金及附加'!AB12</f>
        <v>131.50881837437734</v>
      </c>
    </row>
    <row r="12" spans="1:27" ht="24.9" customHeight="1">
      <c r="A12" s="208"/>
      <c r="B12" s="25">
        <v>2.2000000000000002</v>
      </c>
      <c r="C12" s="94" t="s">
        <v>140</v>
      </c>
      <c r="D12" s="94">
        <f t="shared" ca="1" si="2"/>
        <v>37452.137836159258</v>
      </c>
      <c r="E12" s="94">
        <f>'4还本付息计划表'!F15</f>
        <v>0</v>
      </c>
      <c r="F12" s="94">
        <f>'4还本付息计划表'!G15</f>
        <v>0</v>
      </c>
      <c r="G12" s="94">
        <f>'4还本付息计划表'!H15</f>
        <v>0</v>
      </c>
      <c r="H12" s="94">
        <f ca="1">'4还本付息计划表'!I15</f>
        <v>3052.1278196800808</v>
      </c>
      <c r="I12" s="94">
        <f ca="1">'4还本付息计划表'!J15</f>
        <v>2965.3386964713413</v>
      </c>
      <c r="J12" s="94">
        <f ca="1">'4还本付息计划表'!K15</f>
        <v>2873.7067401875538</v>
      </c>
      <c r="K12" s="94">
        <f ca="1">'4还本付息计划表'!L15</f>
        <v>2776.9617207431306</v>
      </c>
      <c r="L12" s="94">
        <f ca="1">'4还本付息计划表'!M15</f>
        <v>2674.8183292137087</v>
      </c>
      <c r="M12" s="94">
        <f ca="1">'4还本付息计划表'!N15</f>
        <v>2566.9753364369453</v>
      </c>
      <c r="N12" s="94">
        <f ca="1">'4还本付息计划表'!O15</f>
        <v>2453.1147046632386</v>
      </c>
      <c r="O12" s="94">
        <f ca="1">'4还本付息计划表'!P15</f>
        <v>2332.9006496365591</v>
      </c>
      <c r="P12" s="94">
        <f ca="1">'4还本付息计划表'!Q15</f>
        <v>2205.9786503393907</v>
      </c>
      <c r="Q12" s="94">
        <f ca="1">'4还本付息计划表'!R15</f>
        <v>2071.9744034814403</v>
      </c>
      <c r="R12" s="94">
        <f ca="1">'4还本付息计划表'!S15</f>
        <v>1930.4927196488163</v>
      </c>
      <c r="S12" s="94">
        <f ca="1">'4还本付息计划表'!T15</f>
        <v>1781.1163578583314</v>
      </c>
      <c r="T12" s="94">
        <f ca="1">'4还本付息计划表'!U15</f>
        <v>1623.4047950799379</v>
      </c>
      <c r="U12" s="94">
        <f ca="1">'4还本付息计划表'!V15</f>
        <v>1456.8929270985102</v>
      </c>
      <c r="V12" s="94">
        <f ca="1">'4还本付息计划表'!W15</f>
        <v>1281.0896968837185</v>
      </c>
      <c r="W12" s="94">
        <f ca="1">'4还本付息计划表'!X15</f>
        <v>1095.4766464229415</v>
      </c>
      <c r="X12" s="94">
        <f ca="1">'4还本付息计划表'!Y15</f>
        <v>899.50638774645347</v>
      </c>
      <c r="Y12" s="94">
        <f ca="1">'4还本付息计划表'!Z15</f>
        <v>692.6009886358172</v>
      </c>
      <c r="Z12" s="94">
        <f ca="1">'4还本付息计划表'!AA15</f>
        <v>474.15026825480749</v>
      </c>
      <c r="AA12" s="94">
        <f ca="1">'4还本付息计划表'!AB15</f>
        <v>243.5099976765373</v>
      </c>
    </row>
    <row r="13" spans="1:27" ht="24.9" customHeight="1">
      <c r="A13" s="208"/>
      <c r="B13" s="25">
        <v>2.2999999999999998</v>
      </c>
      <c r="C13" s="94" t="s">
        <v>141</v>
      </c>
      <c r="D13" s="94">
        <f t="shared" ca="1" si="2"/>
        <v>61372.493217467847</v>
      </c>
      <c r="E13" s="94">
        <f>'3-2折旧摊销'!E21</f>
        <v>0</v>
      </c>
      <c r="F13" s="94">
        <f>'3-2折旧摊销'!F21</f>
        <v>0</v>
      </c>
      <c r="G13" s="94">
        <f>'3-2折旧摊销'!G21</f>
        <v>0</v>
      </c>
      <c r="H13" s="94">
        <f ca="1">'3-2折旧摊销'!H21</f>
        <v>3068.6246608733913</v>
      </c>
      <c r="I13" s="94">
        <f ca="1">'3-2折旧摊销'!I21</f>
        <v>3068.6246608733913</v>
      </c>
      <c r="J13" s="94">
        <f ca="1">'3-2折旧摊销'!J21</f>
        <v>3068.6246608733913</v>
      </c>
      <c r="K13" s="94">
        <f ca="1">'3-2折旧摊销'!K21</f>
        <v>3068.6246608733913</v>
      </c>
      <c r="L13" s="94">
        <f ca="1">'3-2折旧摊销'!L21</f>
        <v>3068.6246608733913</v>
      </c>
      <c r="M13" s="94">
        <f ca="1">'3-2折旧摊销'!M21</f>
        <v>3068.6246608733913</v>
      </c>
      <c r="N13" s="94">
        <f ca="1">'3-2折旧摊销'!N21</f>
        <v>3068.6246608733913</v>
      </c>
      <c r="O13" s="94">
        <f ca="1">'3-2折旧摊销'!O21</f>
        <v>3068.6246608733913</v>
      </c>
      <c r="P13" s="94">
        <f ca="1">'3-2折旧摊销'!P21</f>
        <v>3068.6246608733913</v>
      </c>
      <c r="Q13" s="94">
        <f ca="1">'3-2折旧摊销'!Q21</f>
        <v>3068.6246608733913</v>
      </c>
      <c r="R13" s="94">
        <f ca="1">'3-2折旧摊销'!R21</f>
        <v>3068.6246608733913</v>
      </c>
      <c r="S13" s="94">
        <f ca="1">'3-2折旧摊销'!S21</f>
        <v>3068.6246608733913</v>
      </c>
      <c r="T13" s="94">
        <f ca="1">'3-2折旧摊销'!T21</f>
        <v>3068.6246608733913</v>
      </c>
      <c r="U13" s="94">
        <f ca="1">'3-2折旧摊销'!U21</f>
        <v>3068.6246608733913</v>
      </c>
      <c r="V13" s="94">
        <f ca="1">'3-2折旧摊销'!V21</f>
        <v>3068.6246608733913</v>
      </c>
      <c r="W13" s="94">
        <f ca="1">'3-2折旧摊销'!W21</f>
        <v>3068.6246608733913</v>
      </c>
      <c r="X13" s="94">
        <f ca="1">'3-2折旧摊销'!X21</f>
        <v>3068.6246608733913</v>
      </c>
      <c r="Y13" s="94">
        <f ca="1">'3-2折旧摊销'!Y21</f>
        <v>3068.6246608733913</v>
      </c>
      <c r="Z13" s="94">
        <f ca="1">'3-2折旧摊销'!Z21</f>
        <v>3068.6246608733913</v>
      </c>
      <c r="AA13" s="94">
        <f ca="1">'3-2折旧摊销'!AA21</f>
        <v>3068.6246608733913</v>
      </c>
    </row>
    <row r="14" spans="1:27" ht="24.9" customHeight="1">
      <c r="A14" s="208"/>
      <c r="B14" s="25">
        <v>3</v>
      </c>
      <c r="C14" s="94" t="s">
        <v>142</v>
      </c>
      <c r="D14" s="94">
        <f t="shared" ca="1" si="2"/>
        <v>255.14233584052036</v>
      </c>
      <c r="E14" s="94">
        <f>'8税金及附加'!F13</f>
        <v>0</v>
      </c>
      <c r="F14" s="94">
        <f>'8税金及附加'!G13</f>
        <v>0</v>
      </c>
      <c r="G14" s="94">
        <f>'8税金及附加'!H13</f>
        <v>0</v>
      </c>
      <c r="H14" s="94">
        <f ca="1">'8税金及附加'!I13</f>
        <v>0</v>
      </c>
      <c r="I14" s="94">
        <f ca="1">'8税金及附加'!J13</f>
        <v>3.4117318901094067</v>
      </c>
      <c r="J14" s="94">
        <f ca="1">'8税金及附加'!K13</f>
        <v>3.4136456501094066</v>
      </c>
      <c r="K14" s="94">
        <f ca="1">'8税金及附加'!L13</f>
        <v>3.4155976853094066</v>
      </c>
      <c r="L14" s="94">
        <f ca="1">'8税金及附加'!M13</f>
        <v>3.4175887612134068</v>
      </c>
      <c r="M14" s="94">
        <f ca="1">'8税金及附加'!N13</f>
        <v>3.4196196586354866</v>
      </c>
      <c r="N14" s="94">
        <f ca="1">'8税金及附加'!O13</f>
        <v>3.4216911740060079</v>
      </c>
      <c r="O14" s="94">
        <f ca="1">'8税金及附加'!P13</f>
        <v>3.4238041196839406</v>
      </c>
      <c r="P14" s="94">
        <f ca="1">'8税金及附加'!Q13</f>
        <v>3.4259593242754307</v>
      </c>
      <c r="Q14" s="94">
        <f ca="1">'8税金及附加'!R13</f>
        <v>3.4281576329587518</v>
      </c>
      <c r="R14" s="94">
        <f ca="1">'8税金及附加'!S13</f>
        <v>3.4303999078157386</v>
      </c>
      <c r="S14" s="94">
        <f ca="1">'8税金及附加'!T13</f>
        <v>3.4326870281698647</v>
      </c>
      <c r="T14" s="94">
        <f ca="1">'8税金及附加'!U13</f>
        <v>3.4350198909310747</v>
      </c>
      <c r="U14" s="94">
        <f ca="1">'8税金及附加'!V13</f>
        <v>30.35078894328916</v>
      </c>
      <c r="V14" s="94">
        <f ca="1">'8税金及附加'!W13</f>
        <v>30.353216053705925</v>
      </c>
      <c r="W14" s="94">
        <f ca="1">'8税金及附加'!X13</f>
        <v>30.575157597627928</v>
      </c>
      <c r="X14" s="94">
        <f ca="1">'8税金及附加'!Y13</f>
        <v>30.577682763305525</v>
      </c>
      <c r="Y14" s="94">
        <f ca="1">'8税金及附加'!Z13</f>
        <v>30.580258432296677</v>
      </c>
      <c r="Z14" s="94">
        <f ca="1">'8税金及附加'!AA13</f>
        <v>30.813324800529408</v>
      </c>
      <c r="AA14" s="94">
        <f ca="1">'8税金及附加'!AB13</f>
        <v>30.8160045265478</v>
      </c>
    </row>
    <row r="15" spans="1:27" ht="24.9" customHeight="1">
      <c r="A15" s="208"/>
      <c r="B15" s="25">
        <v>4</v>
      </c>
      <c r="C15" s="94" t="s">
        <v>143</v>
      </c>
      <c r="D15" s="94">
        <f t="shared" ca="1" si="2"/>
        <v>-37207.621385923027</v>
      </c>
      <c r="E15" s="94">
        <f>E7-E10-E14</f>
        <v>0</v>
      </c>
      <c r="F15" s="94">
        <f t="shared" ref="F15:V15" si="5">F7-F10-F14</f>
        <v>0</v>
      </c>
      <c r="G15" s="94">
        <f t="shared" si="5"/>
        <v>0</v>
      </c>
      <c r="H15" s="94">
        <f ca="1">H7-H10-H14</f>
        <v>-3022.5017099811562</v>
      </c>
      <c r="I15" s="94">
        <f t="shared" ca="1" si="5"/>
        <v>-2939.1243186625261</v>
      </c>
      <c r="J15" s="94">
        <f t="shared" ca="1" si="5"/>
        <v>-2847.4942761387392</v>
      </c>
      <c r="K15" s="94">
        <f t="shared" ca="1" si="5"/>
        <v>-2752.2558348287021</v>
      </c>
      <c r="L15" s="94">
        <f t="shared" ca="1" si="5"/>
        <v>-2650.1144343751839</v>
      </c>
      <c r="M15" s="94">
        <f t="shared" ca="1" si="5"/>
        <v>-2542.2734724958441</v>
      </c>
      <c r="N15" s="94">
        <f t="shared" ca="1" si="5"/>
        <v>-2429.994769641653</v>
      </c>
      <c r="O15" s="94">
        <f t="shared" ca="1" si="5"/>
        <v>-2309.7828275606516</v>
      </c>
      <c r="P15" s="94">
        <f t="shared" ca="1" si="5"/>
        <v>-2182.8629834680746</v>
      </c>
      <c r="Q15" s="94">
        <f t="shared" ca="1" si="5"/>
        <v>-2050.5197851931607</v>
      </c>
      <c r="R15" s="94">
        <f t="shared" ca="1" si="5"/>
        <v>-1909.0403436353936</v>
      </c>
      <c r="S15" s="94">
        <f t="shared" ca="1" si="5"/>
        <v>-1759.6662689652617</v>
      </c>
      <c r="T15" s="94">
        <f t="shared" ca="1" si="5"/>
        <v>-1603.6988318377003</v>
      </c>
      <c r="U15" s="94">
        <f t="shared" ca="1" si="5"/>
        <v>-1464.1027329086317</v>
      </c>
      <c r="V15" s="94">
        <f t="shared" ca="1" si="5"/>
        <v>-1288.3019298042561</v>
      </c>
      <c r="W15" s="94">
        <f t="shared" ref="W15:AA15" ca="1" si="6">W7-W10-W14</f>
        <v>-1104.739703314875</v>
      </c>
      <c r="X15" s="94">
        <f t="shared" ca="1" si="6"/>
        <v>-908.77196980406484</v>
      </c>
      <c r="Y15" s="94">
        <f t="shared" ca="1" si="6"/>
        <v>-701.86914636241977</v>
      </c>
      <c r="Z15" s="94">
        <f t="shared" ca="1" si="6"/>
        <v>-485.57181889849079</v>
      </c>
      <c r="AA15" s="94">
        <f t="shared" ca="1" si="6"/>
        <v>-254.93422804623893</v>
      </c>
    </row>
    <row r="16" spans="1:27" ht="24.9" customHeight="1">
      <c r="A16" s="208"/>
      <c r="B16" s="25">
        <v>5</v>
      </c>
      <c r="C16" s="94" t="s">
        <v>144</v>
      </c>
      <c r="D16" s="94"/>
      <c r="E16" s="94"/>
      <c r="F16" s="94"/>
      <c r="G16" s="94"/>
      <c r="H16" s="207"/>
      <c r="I16" s="207"/>
      <c r="J16" s="207"/>
      <c r="K16" s="207"/>
      <c r="L16" s="207"/>
      <c r="M16" s="207"/>
      <c r="N16" s="207">
        <f ca="1">N15</f>
        <v>-2429.994769641653</v>
      </c>
      <c r="O16" s="207">
        <f ca="1">O15</f>
        <v>-2309.7828275606516</v>
      </c>
      <c r="P16" s="94">
        <f ca="1">P15</f>
        <v>-2182.8629834680746</v>
      </c>
      <c r="Q16" s="94">
        <f ca="1">ABS(P15+M15+L15+K15)</f>
        <v>10127.506725167805</v>
      </c>
      <c r="R16" s="94"/>
      <c r="S16" s="94"/>
      <c r="T16" s="94"/>
      <c r="U16" s="94"/>
      <c r="V16" s="252"/>
      <c r="W16" s="252"/>
      <c r="X16" s="252"/>
      <c r="Y16" s="252"/>
      <c r="Z16" s="252"/>
      <c r="AA16" s="252"/>
    </row>
    <row r="17" spans="1:27" ht="24.9" customHeight="1">
      <c r="A17" s="208"/>
      <c r="B17" s="25">
        <v>6</v>
      </c>
      <c r="C17" s="94" t="s">
        <v>145</v>
      </c>
      <c r="D17" s="94">
        <f t="shared" ca="1" si="2"/>
        <v>-23658.723483938298</v>
      </c>
      <c r="E17" s="94"/>
      <c r="F17" s="94"/>
      <c r="G17" s="94"/>
      <c r="H17" s="94"/>
      <c r="I17" s="94"/>
      <c r="J17" s="94"/>
      <c r="K17" s="94"/>
      <c r="L17" s="94"/>
      <c r="M17" s="94"/>
      <c r="N17" s="94"/>
      <c r="O17" s="94"/>
      <c r="P17" s="94"/>
      <c r="Q17" s="94">
        <f ca="1">Q15-Q16</f>
        <v>-12178.026510360965</v>
      </c>
      <c r="R17" s="94">
        <f ca="1">R15-R16</f>
        <v>-1909.0403436353936</v>
      </c>
      <c r="S17" s="94">
        <f t="shared" ref="S17:V17" ca="1" si="7">S15-S16</f>
        <v>-1759.6662689652617</v>
      </c>
      <c r="T17" s="94">
        <f t="shared" ca="1" si="7"/>
        <v>-1603.6988318377003</v>
      </c>
      <c r="U17" s="94">
        <f t="shared" ca="1" si="7"/>
        <v>-1464.1027329086317</v>
      </c>
      <c r="V17" s="94">
        <f t="shared" ca="1" si="7"/>
        <v>-1288.3019298042561</v>
      </c>
      <c r="W17" s="94">
        <f t="shared" ref="W17:AA17" ca="1" si="8">W15-W16</f>
        <v>-1104.739703314875</v>
      </c>
      <c r="X17" s="94">
        <f t="shared" ca="1" si="8"/>
        <v>-908.77196980406484</v>
      </c>
      <c r="Y17" s="94">
        <f t="shared" ca="1" si="8"/>
        <v>-701.86914636241977</v>
      </c>
      <c r="Z17" s="94">
        <f t="shared" ca="1" si="8"/>
        <v>-485.57181889849079</v>
      </c>
      <c r="AA17" s="94">
        <f t="shared" ca="1" si="8"/>
        <v>-254.93422804623893</v>
      </c>
    </row>
    <row r="18" spans="1:27" s="409" customFormat="1" ht="24.9" customHeight="1">
      <c r="A18" s="406"/>
      <c r="B18" s="407">
        <v>7</v>
      </c>
      <c r="C18" s="408" t="s">
        <v>146</v>
      </c>
      <c r="D18" s="408">
        <f t="shared" ca="1" si="2"/>
        <v>-5914.6808709845745</v>
      </c>
      <c r="E18" s="408"/>
      <c r="F18" s="408"/>
      <c r="G18" s="408"/>
      <c r="H18" s="408"/>
      <c r="I18" s="408"/>
      <c r="J18" s="408"/>
      <c r="K18" s="408"/>
      <c r="L18" s="408"/>
      <c r="M18" s="408"/>
      <c r="N18" s="408"/>
      <c r="O18" s="408"/>
      <c r="P18" s="408"/>
      <c r="Q18" s="408">
        <f ca="1">Q17*$D$2</f>
        <v>-3044.5066275902414</v>
      </c>
      <c r="R18" s="408">
        <f ca="1">R17*$D$2</f>
        <v>-477.2600859088484</v>
      </c>
      <c r="S18" s="408">
        <f t="shared" ref="S18:V18" ca="1" si="9">S17*$D$2</f>
        <v>-439.91656724131542</v>
      </c>
      <c r="T18" s="408">
        <f t="shared" ca="1" si="9"/>
        <v>-400.92470795942506</v>
      </c>
      <c r="U18" s="408">
        <f t="shared" ca="1" si="9"/>
        <v>-366.02568322715791</v>
      </c>
      <c r="V18" s="408">
        <f t="shared" ca="1" si="9"/>
        <v>-322.07548245106403</v>
      </c>
      <c r="W18" s="408">
        <f t="shared" ref="W18:AA18" ca="1" si="10">W17*$D$2</f>
        <v>-276.18492582871875</v>
      </c>
      <c r="X18" s="408">
        <f t="shared" ca="1" si="10"/>
        <v>-227.19299245101621</v>
      </c>
      <c r="Y18" s="408">
        <f ca="1">Y17*$D$2</f>
        <v>-175.46728659060494</v>
      </c>
      <c r="Z18" s="408">
        <f t="shared" ca="1" si="10"/>
        <v>-121.3929547246227</v>
      </c>
      <c r="AA18" s="408">
        <f t="shared" ca="1" si="10"/>
        <v>-63.733557011559732</v>
      </c>
    </row>
    <row r="19" spans="1:27" ht="24.9" customHeight="1">
      <c r="A19" s="208"/>
      <c r="B19" s="25">
        <v>8</v>
      </c>
      <c r="C19" s="94" t="s">
        <v>147</v>
      </c>
      <c r="D19" s="94">
        <f t="shared" ca="1" si="2"/>
        <v>-31292.940514938451</v>
      </c>
      <c r="E19" s="94">
        <f>E15-E18</f>
        <v>0</v>
      </c>
      <c r="F19" s="94">
        <f t="shared" ref="F19:V19" si="11">F15-F18</f>
        <v>0</v>
      </c>
      <c r="G19" s="94">
        <f t="shared" si="11"/>
        <v>0</v>
      </c>
      <c r="H19" s="94">
        <f ca="1">H15-H18</f>
        <v>-3022.5017099811562</v>
      </c>
      <c r="I19" s="94">
        <f t="shared" ca="1" si="11"/>
        <v>-2939.1243186625261</v>
      </c>
      <c r="J19" s="94">
        <f t="shared" ca="1" si="11"/>
        <v>-2847.4942761387392</v>
      </c>
      <c r="K19" s="94">
        <f t="shared" ca="1" si="11"/>
        <v>-2752.2558348287021</v>
      </c>
      <c r="L19" s="94">
        <f t="shared" ca="1" si="11"/>
        <v>-2650.1144343751839</v>
      </c>
      <c r="M19" s="94">
        <f t="shared" ca="1" si="11"/>
        <v>-2542.2734724958441</v>
      </c>
      <c r="N19" s="94">
        <f t="shared" ca="1" si="11"/>
        <v>-2429.994769641653</v>
      </c>
      <c r="O19" s="94">
        <f ca="1">O15-O18</f>
        <v>-2309.7828275606516</v>
      </c>
      <c r="P19" s="94">
        <f t="shared" ca="1" si="11"/>
        <v>-2182.8629834680746</v>
      </c>
      <c r="Q19" s="94">
        <f t="shared" ca="1" si="11"/>
        <v>993.98684239708064</v>
      </c>
      <c r="R19" s="94">
        <f t="shared" ca="1" si="11"/>
        <v>-1431.7802577265452</v>
      </c>
      <c r="S19" s="94">
        <f t="shared" ca="1" si="11"/>
        <v>-1319.7497017239461</v>
      </c>
      <c r="T19" s="94">
        <f t="shared" ca="1" si="11"/>
        <v>-1202.7741238782751</v>
      </c>
      <c r="U19" s="94">
        <f t="shared" ca="1" si="11"/>
        <v>-1098.0770496814737</v>
      </c>
      <c r="V19" s="94">
        <f t="shared" ca="1" si="11"/>
        <v>-966.22644735319204</v>
      </c>
      <c r="W19" s="94">
        <f t="shared" ref="W19:AA19" ca="1" si="12">W15-W18</f>
        <v>-828.55477748615624</v>
      </c>
      <c r="X19" s="94">
        <f t="shared" ca="1" si="12"/>
        <v>-681.57897735304869</v>
      </c>
      <c r="Y19" s="94">
        <f t="shared" ca="1" si="12"/>
        <v>-526.40185977181477</v>
      </c>
      <c r="Z19" s="94">
        <f t="shared" ca="1" si="12"/>
        <v>-364.17886417386808</v>
      </c>
      <c r="AA19" s="94">
        <f t="shared" ca="1" si="12"/>
        <v>-191.2006710346792</v>
      </c>
    </row>
    <row r="20" spans="1:27" ht="24.9" customHeight="1">
      <c r="A20" s="208"/>
      <c r="B20" s="25">
        <v>9</v>
      </c>
      <c r="C20" s="94" t="s">
        <v>148</v>
      </c>
      <c r="D20" s="94"/>
      <c r="E20" s="94">
        <f>E19</f>
        <v>0</v>
      </c>
      <c r="F20" s="94">
        <f>E20+F19</f>
        <v>0</v>
      </c>
      <c r="G20" s="94">
        <f t="shared" ref="G20:V20" si="13">F20+G19</f>
        <v>0</v>
      </c>
      <c r="H20" s="94">
        <f t="shared" ca="1" si="13"/>
        <v>-3022.5017099811562</v>
      </c>
      <c r="I20" s="94">
        <f t="shared" ca="1" si="13"/>
        <v>-5961.6260286436827</v>
      </c>
      <c r="J20" s="94">
        <f t="shared" ca="1" si="13"/>
        <v>-8809.120304782422</v>
      </c>
      <c r="K20" s="94">
        <f t="shared" ca="1" si="13"/>
        <v>-11561.376139611124</v>
      </c>
      <c r="L20" s="94">
        <f t="shared" ca="1" si="13"/>
        <v>-14211.490573986308</v>
      </c>
      <c r="M20" s="94">
        <f t="shared" ca="1" si="13"/>
        <v>-16753.764046482152</v>
      </c>
      <c r="N20" s="94">
        <f t="shared" ca="1" si="13"/>
        <v>-19183.758816123805</v>
      </c>
      <c r="O20" s="94">
        <f t="shared" ca="1" si="13"/>
        <v>-21493.541643684457</v>
      </c>
      <c r="P20" s="94">
        <f t="shared" ca="1" si="13"/>
        <v>-23676.404627152533</v>
      </c>
      <c r="Q20" s="94">
        <f t="shared" ca="1" si="13"/>
        <v>-22682.417784755453</v>
      </c>
      <c r="R20" s="94">
        <f t="shared" ca="1" si="13"/>
        <v>-24114.198042481999</v>
      </c>
      <c r="S20" s="94">
        <f t="shared" ca="1" si="13"/>
        <v>-25433.947744205947</v>
      </c>
      <c r="T20" s="94">
        <f t="shared" ca="1" si="13"/>
        <v>-26636.721868084223</v>
      </c>
      <c r="U20" s="94">
        <f t="shared" ca="1" si="13"/>
        <v>-27734.798917765696</v>
      </c>
      <c r="V20" s="94">
        <f t="shared" ca="1" si="13"/>
        <v>-28701.025365118887</v>
      </c>
      <c r="W20" s="94">
        <f t="shared" ref="W20" ca="1" si="14">V20+W19</f>
        <v>-29529.580142605042</v>
      </c>
      <c r="X20" s="94">
        <f t="shared" ref="X20" ca="1" si="15">W20+X19</f>
        <v>-30211.159119958091</v>
      </c>
      <c r="Y20" s="94">
        <f t="shared" ref="Y20" ca="1" si="16">X20+Y19</f>
        <v>-30737.560979729904</v>
      </c>
      <c r="Z20" s="94">
        <f t="shared" ref="Z20" ca="1" si="17">Y20+Z19</f>
        <v>-31101.739843903772</v>
      </c>
      <c r="AA20" s="94">
        <f t="shared" ref="AA20" ca="1" si="18">Z20+AA19</f>
        <v>-31292.940514938451</v>
      </c>
    </row>
    <row r="21" spans="1:27" ht="24.9" customHeight="1">
      <c r="A21" s="208"/>
      <c r="B21" s="25">
        <v>10</v>
      </c>
      <c r="C21" s="94" t="s">
        <v>149</v>
      </c>
      <c r="D21" s="94">
        <f t="shared" ca="1" si="2"/>
        <v>-3129.2940514938455</v>
      </c>
      <c r="E21" s="94"/>
      <c r="F21" s="94"/>
      <c r="G21" s="94"/>
      <c r="H21" s="94"/>
      <c r="I21" s="94"/>
      <c r="J21" s="94"/>
      <c r="K21" s="94"/>
      <c r="L21" s="94"/>
      <c r="M21" s="94"/>
      <c r="N21" s="94"/>
      <c r="O21" s="94"/>
      <c r="P21" s="94"/>
      <c r="Q21" s="94"/>
      <c r="R21" s="94"/>
      <c r="S21" s="94">
        <f ca="1">S20*$D$3</f>
        <v>-2543.3947744205948</v>
      </c>
      <c r="T21" s="94">
        <f ca="1">T19*$D$3</f>
        <v>-120.27741238782751</v>
      </c>
      <c r="U21" s="94">
        <f ca="1">U19*$D$3</f>
        <v>-109.80770496814738</v>
      </c>
      <c r="V21" s="94">
        <f t="shared" ref="V21" ca="1" si="19">V19*$D$3</f>
        <v>-96.622644735319213</v>
      </c>
      <c r="W21" s="94">
        <f t="shared" ref="W21:AA21" ca="1" si="20">W19*$D$3</f>
        <v>-82.855477748615627</v>
      </c>
      <c r="X21" s="94">
        <f t="shared" ca="1" si="20"/>
        <v>-68.157897735304871</v>
      </c>
      <c r="Y21" s="94">
        <f t="shared" ca="1" si="20"/>
        <v>-52.640185977181481</v>
      </c>
      <c r="Z21" s="94">
        <f t="shared" ca="1" si="20"/>
        <v>-36.417886417386811</v>
      </c>
      <c r="AA21" s="94">
        <f t="shared" ca="1" si="20"/>
        <v>-19.120067103467921</v>
      </c>
    </row>
    <row r="22" spans="1:27" ht="24.9" customHeight="1">
      <c r="A22" s="208"/>
      <c r="B22" s="25">
        <v>11</v>
      </c>
      <c r="C22" s="94" t="s">
        <v>150</v>
      </c>
      <c r="D22" s="94">
        <f t="shared" ca="1" si="2"/>
        <v>-28163.646463444613</v>
      </c>
      <c r="E22" s="94"/>
      <c r="F22" s="94"/>
      <c r="G22" s="94"/>
      <c r="H22" s="94"/>
      <c r="I22" s="94"/>
      <c r="J22" s="94"/>
      <c r="K22" s="94"/>
      <c r="L22" s="94"/>
      <c r="M22" s="94"/>
      <c r="N22" s="94"/>
      <c r="O22" s="94"/>
      <c r="P22" s="94"/>
      <c r="Q22" s="94"/>
      <c r="R22" s="94"/>
      <c r="S22" s="94">
        <f ca="1">S20-S21</f>
        <v>-22890.552969785353</v>
      </c>
      <c r="T22" s="94">
        <f ca="1">T19-T21</f>
        <v>-1082.4967114904475</v>
      </c>
      <c r="U22" s="94">
        <f t="shared" ref="U22:V22" ca="1" si="21">U19-U21</f>
        <v>-988.26934471332629</v>
      </c>
      <c r="V22" s="94">
        <f t="shared" ca="1" si="21"/>
        <v>-869.60380261787282</v>
      </c>
      <c r="W22" s="94">
        <f t="shared" ref="W22:AA22" ca="1" si="22">W19-W21</f>
        <v>-745.69929973754063</v>
      </c>
      <c r="X22" s="94">
        <f t="shared" ca="1" si="22"/>
        <v>-613.42107961774377</v>
      </c>
      <c r="Y22" s="94">
        <f t="shared" ca="1" si="22"/>
        <v>-473.76167379463328</v>
      </c>
      <c r="Z22" s="94">
        <f t="shared" ca="1" si="22"/>
        <v>-327.76097775648128</v>
      </c>
      <c r="AA22" s="94">
        <f t="shared" ca="1" si="22"/>
        <v>-172.08060393121127</v>
      </c>
    </row>
    <row r="23" spans="1:27" ht="24.9" customHeight="1">
      <c r="A23" s="208"/>
      <c r="B23" s="25">
        <v>12</v>
      </c>
      <c r="C23" s="94" t="s">
        <v>151</v>
      </c>
      <c r="D23" s="94">
        <f t="shared" ca="1" si="2"/>
        <v>244.51645023623652</v>
      </c>
      <c r="E23" s="94">
        <f>E15+E12</f>
        <v>0</v>
      </c>
      <c r="F23" s="94">
        <f t="shared" ref="F23:V23" si="23">F15+F12</f>
        <v>0</v>
      </c>
      <c r="G23" s="94">
        <f t="shared" si="23"/>
        <v>0</v>
      </c>
      <c r="H23" s="94">
        <f t="shared" ca="1" si="23"/>
        <v>29.626109698924665</v>
      </c>
      <c r="I23" s="94">
        <f t="shared" ca="1" si="23"/>
        <v>26.214377808815243</v>
      </c>
      <c r="J23" s="94">
        <f t="shared" ca="1" si="23"/>
        <v>26.212464048814581</v>
      </c>
      <c r="K23" s="94">
        <f t="shared" ca="1" si="23"/>
        <v>24.705885914428563</v>
      </c>
      <c r="L23" s="94">
        <f t="shared" ca="1" si="23"/>
        <v>24.703894838524775</v>
      </c>
      <c r="M23" s="94">
        <f t="shared" ca="1" si="23"/>
        <v>24.701863941101237</v>
      </c>
      <c r="N23" s="94">
        <f t="shared" ca="1" si="23"/>
        <v>23.119935021585661</v>
      </c>
      <c r="O23" s="94">
        <f t="shared" ca="1" si="23"/>
        <v>23.117822075907497</v>
      </c>
      <c r="P23" s="94">
        <f t="shared" ca="1" si="23"/>
        <v>23.11566687131608</v>
      </c>
      <c r="Q23" s="94">
        <f t="shared" ca="1" si="23"/>
        <v>21.454618288279562</v>
      </c>
      <c r="R23" s="94">
        <f t="shared" ca="1" si="23"/>
        <v>21.452376013422736</v>
      </c>
      <c r="S23" s="94">
        <f t="shared" ca="1" si="23"/>
        <v>21.450088893069733</v>
      </c>
      <c r="T23" s="94">
        <f t="shared" ca="1" si="23"/>
        <v>19.705963242237658</v>
      </c>
      <c r="U23" s="94">
        <f t="shared" ca="1" si="23"/>
        <v>-7.2098058101214519</v>
      </c>
      <c r="V23" s="94">
        <f t="shared" ca="1" si="23"/>
        <v>-7.2122329205376445</v>
      </c>
      <c r="W23" s="94">
        <f t="shared" ref="W23:AA23" ca="1" si="24">W15+W12</f>
        <v>-9.2630568919335019</v>
      </c>
      <c r="X23" s="94">
        <f t="shared" ca="1" si="24"/>
        <v>-9.2655820576113683</v>
      </c>
      <c r="Y23" s="94">
        <f t="shared" ca="1" si="24"/>
        <v>-9.268157726602567</v>
      </c>
      <c r="Z23" s="94">
        <f t="shared" ca="1" si="24"/>
        <v>-11.421550643683304</v>
      </c>
      <c r="AA23" s="94">
        <f t="shared" ca="1" si="24"/>
        <v>-11.424230369701633</v>
      </c>
    </row>
    <row r="24" spans="1:27" ht="24.9" customHeight="1">
      <c r="A24" s="208"/>
      <c r="B24" s="25">
        <v>13</v>
      </c>
      <c r="C24" s="94" t="s">
        <v>152</v>
      </c>
      <c r="D24" s="94">
        <f t="shared" ca="1" si="2"/>
        <v>61.129112559059131</v>
      </c>
      <c r="E24" s="94">
        <f>E23*25%</f>
        <v>0</v>
      </c>
      <c r="F24" s="94">
        <f t="shared" ref="F24:V24" si="25">F23*25%</f>
        <v>0</v>
      </c>
      <c r="G24" s="94">
        <f t="shared" si="25"/>
        <v>0</v>
      </c>
      <c r="H24" s="94">
        <f t="shared" ca="1" si="25"/>
        <v>7.4065274247311663</v>
      </c>
      <c r="I24" s="94">
        <f t="shared" ca="1" si="25"/>
        <v>6.5535944522038108</v>
      </c>
      <c r="J24" s="94">
        <f t="shared" ca="1" si="25"/>
        <v>6.5531160122036454</v>
      </c>
      <c r="K24" s="94">
        <f t="shared" ca="1" si="25"/>
        <v>6.1764714786071409</v>
      </c>
      <c r="L24" s="94">
        <f t="shared" ca="1" si="25"/>
        <v>6.1759737096311937</v>
      </c>
      <c r="M24" s="94">
        <f t="shared" ca="1" si="25"/>
        <v>6.1754659852753093</v>
      </c>
      <c r="N24" s="94">
        <f t="shared" ca="1" si="25"/>
        <v>5.7799837553964153</v>
      </c>
      <c r="O24" s="94">
        <f t="shared" ca="1" si="25"/>
        <v>5.7794555189768744</v>
      </c>
      <c r="P24" s="94">
        <f t="shared" ca="1" si="25"/>
        <v>5.7789167178290199</v>
      </c>
      <c r="Q24" s="94">
        <f t="shared" ca="1" si="25"/>
        <v>5.3636545720698905</v>
      </c>
      <c r="R24" s="94">
        <f t="shared" ca="1" si="25"/>
        <v>5.363094003355684</v>
      </c>
      <c r="S24" s="94">
        <f t="shared" ca="1" si="25"/>
        <v>5.3625222232674332</v>
      </c>
      <c r="T24" s="94">
        <f t="shared" ca="1" si="25"/>
        <v>4.9264908105594145</v>
      </c>
      <c r="U24" s="94">
        <f t="shared" ca="1" si="25"/>
        <v>-1.802451452530363</v>
      </c>
      <c r="V24" s="94">
        <f t="shared" ca="1" si="25"/>
        <v>-1.8030582301344111</v>
      </c>
      <c r="W24" s="94">
        <f t="shared" ref="W24:AA24" ca="1" si="26">W23*25%</f>
        <v>-2.3157642229833755</v>
      </c>
      <c r="X24" s="94">
        <f t="shared" ca="1" si="26"/>
        <v>-2.3163955144028421</v>
      </c>
      <c r="Y24" s="94">
        <f t="shared" ca="1" si="26"/>
        <v>-2.3170394316506417</v>
      </c>
      <c r="Z24" s="94">
        <f t="shared" ca="1" si="26"/>
        <v>-2.855387660920826</v>
      </c>
      <c r="AA24" s="94">
        <f t="shared" ca="1" si="26"/>
        <v>-2.8560575924254081</v>
      </c>
    </row>
    <row r="25" spans="1:27" ht="20.100000000000001" customHeight="1"/>
  </sheetData>
  <mergeCells count="5">
    <mergeCell ref="B5:B6"/>
    <mergeCell ref="C5:C6"/>
    <mergeCell ref="D5:D6"/>
    <mergeCell ref="E5:G5"/>
    <mergeCell ref="H5:AA5"/>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5"/>
  <sheetViews>
    <sheetView topLeftCell="A5" zoomScale="80" zoomScaleNormal="80" workbookViewId="0">
      <selection activeCell="I21" sqref="I21"/>
    </sheetView>
  </sheetViews>
  <sheetFormatPr defaultColWidth="11" defaultRowHeight="15.6"/>
  <cols>
    <col min="2" max="2" width="11.453125" bestFit="1" customWidth="1"/>
    <col min="3" max="3" width="24.08984375" bestFit="1" customWidth="1"/>
    <col min="4" max="4" width="15" bestFit="1" customWidth="1"/>
    <col min="5" max="5" width="13.90625" bestFit="1" customWidth="1"/>
    <col min="6" max="6" width="15" bestFit="1" customWidth="1"/>
    <col min="7" max="15" width="13.90625" bestFit="1" customWidth="1"/>
    <col min="16" max="16" width="15.08984375" bestFit="1" customWidth="1"/>
    <col min="17" max="17" width="13.90625" bestFit="1" customWidth="1"/>
    <col min="18" max="20" width="12.453125" bestFit="1" customWidth="1"/>
    <col min="21" max="21" width="12.90625" bestFit="1" customWidth="1"/>
    <col min="22" max="27" width="12.453125" bestFit="1" customWidth="1"/>
  </cols>
  <sheetData>
    <row r="2" spans="2:27" ht="33.9" customHeight="1">
      <c r="B2" s="611" t="s">
        <v>112</v>
      </c>
      <c r="C2" s="611" t="s">
        <v>153</v>
      </c>
      <c r="D2" s="242" t="s">
        <v>85</v>
      </c>
      <c r="E2" s="585" t="s">
        <v>75</v>
      </c>
      <c r="F2" s="585"/>
      <c r="G2" s="585"/>
      <c r="H2" s="585" t="s">
        <v>497</v>
      </c>
      <c r="I2" s="585"/>
      <c r="J2" s="585"/>
      <c r="K2" s="585"/>
      <c r="L2" s="585"/>
      <c r="M2" s="585"/>
      <c r="N2" s="585"/>
      <c r="O2" s="585"/>
      <c r="P2" s="585"/>
      <c r="Q2" s="585"/>
      <c r="R2" s="585"/>
      <c r="S2" s="585"/>
      <c r="T2" s="585"/>
      <c r="U2" s="585"/>
      <c r="V2" s="585"/>
      <c r="W2" s="585"/>
      <c r="X2" s="585"/>
      <c r="Y2" s="585"/>
      <c r="Z2" s="585"/>
      <c r="AA2" s="585"/>
    </row>
    <row r="3" spans="2:27" ht="33.9" customHeight="1">
      <c r="B3" s="611"/>
      <c r="C3" s="611"/>
      <c r="D3" s="274"/>
      <c r="E3" s="241">
        <v>1</v>
      </c>
      <c r="F3" s="241">
        <v>2</v>
      </c>
      <c r="G3" s="241">
        <v>3</v>
      </c>
      <c r="H3" s="241">
        <v>4</v>
      </c>
      <c r="I3" s="241">
        <v>5</v>
      </c>
      <c r="J3" s="241">
        <v>6</v>
      </c>
      <c r="K3" s="241">
        <v>7</v>
      </c>
      <c r="L3" s="241">
        <v>8</v>
      </c>
      <c r="M3" s="241">
        <v>9</v>
      </c>
      <c r="N3" s="241">
        <v>10</v>
      </c>
      <c r="O3" s="241">
        <v>11</v>
      </c>
      <c r="P3" s="241">
        <v>12</v>
      </c>
      <c r="Q3" s="241">
        <v>13</v>
      </c>
      <c r="R3" s="241">
        <v>14</v>
      </c>
      <c r="S3" s="241">
        <v>15</v>
      </c>
      <c r="T3" s="241">
        <v>16</v>
      </c>
      <c r="U3" s="241">
        <v>17</v>
      </c>
      <c r="V3" s="241">
        <v>18</v>
      </c>
      <c r="W3" s="334">
        <v>19</v>
      </c>
      <c r="X3" s="334">
        <v>20</v>
      </c>
      <c r="Y3" s="334">
        <v>21</v>
      </c>
      <c r="Z3" s="334">
        <v>22</v>
      </c>
      <c r="AA3" s="334">
        <v>23</v>
      </c>
    </row>
    <row r="4" spans="2:27" ht="33.9" customHeight="1">
      <c r="B4" s="97" t="s">
        <v>154</v>
      </c>
      <c r="C4" s="98" t="s">
        <v>155</v>
      </c>
      <c r="D4" s="275">
        <f ca="1">SUM(E4:AA4)</f>
        <v>68645.844523506981</v>
      </c>
      <c r="E4" s="63">
        <f>E5+E6+E7+E8</f>
        <v>0</v>
      </c>
      <c r="F4" s="63">
        <f t="shared" ref="F4:V4" si="0">F5+F6+F7+F8</f>
        <v>0</v>
      </c>
      <c r="G4" s="63">
        <f t="shared" si="0"/>
        <v>0</v>
      </c>
      <c r="H4" s="63">
        <f t="shared" ca="1" si="0"/>
        <v>3411.7318901094068</v>
      </c>
      <c r="I4" s="63">
        <f t="shared" ca="1" si="0"/>
        <v>3413.6456501094067</v>
      </c>
      <c r="J4" s="63">
        <f t="shared" ca="1" si="0"/>
        <v>3415.5976853094066</v>
      </c>
      <c r="K4" s="63">
        <f t="shared" ca="1" si="0"/>
        <v>3417.5887612134065</v>
      </c>
      <c r="L4" s="63">
        <f t="shared" ca="1" si="0"/>
        <v>3419.6196586354863</v>
      </c>
      <c r="M4" s="63">
        <f t="shared" ca="1" si="0"/>
        <v>3421.6911740060077</v>
      </c>
      <c r="N4" s="63">
        <f t="shared" ca="1" si="0"/>
        <v>3423.8041196839404</v>
      </c>
      <c r="O4" s="63">
        <f t="shared" ca="1" si="0"/>
        <v>3425.9593242754308</v>
      </c>
      <c r="P4" s="63">
        <f t="shared" ca="1" si="0"/>
        <v>3428.1576329587515</v>
      </c>
      <c r="Q4" s="63">
        <f t="shared" ca="1" si="0"/>
        <v>3430.3999078157385</v>
      </c>
      <c r="R4" s="63">
        <f t="shared" ca="1" si="0"/>
        <v>3432.6870281698648</v>
      </c>
      <c r="S4" s="63">
        <f t="shared" ca="1" si="0"/>
        <v>3435.0198909310748</v>
      </c>
      <c r="T4" s="63">
        <f t="shared" ca="1" si="0"/>
        <v>3437.3994109475075</v>
      </c>
      <c r="U4" s="63">
        <f t="shared" ca="1" si="0"/>
        <v>3439.8265213642694</v>
      </c>
      <c r="V4" s="63">
        <f t="shared" ca="1" si="0"/>
        <v>3442.3021739893666</v>
      </c>
      <c r="W4" s="63">
        <f t="shared" ref="W4:AA4" ca="1" si="1">W5+W6+W7+W8</f>
        <v>3444.8273396669661</v>
      </c>
      <c r="X4" s="63">
        <f t="shared" ca="1" si="1"/>
        <v>3447.403008658117</v>
      </c>
      <c r="Y4" s="63">
        <f t="shared" ca="1" si="1"/>
        <v>3450.0301910290914</v>
      </c>
      <c r="Z4" s="63">
        <f t="shared" ca="1" si="1"/>
        <v>3452.7099170474849</v>
      </c>
      <c r="AA4" s="63">
        <f t="shared" ca="1" si="1"/>
        <v>3455.4432375862466</v>
      </c>
    </row>
    <row r="5" spans="2:27" ht="33.9" customHeight="1">
      <c r="B5" s="99">
        <v>1</v>
      </c>
      <c r="C5" s="100" t="s">
        <v>119</v>
      </c>
      <c r="D5" s="275">
        <f t="shared" ref="D5:D19" ca="1" si="2">SUM(E5:AA5)</f>
        <v>41890.098540518513</v>
      </c>
      <c r="E5" s="63">
        <f>'5政府补贴测算'!G10</f>
        <v>0</v>
      </c>
      <c r="F5" s="63">
        <f>'5政府补贴测算'!H10</f>
        <v>0</v>
      </c>
      <c r="G5" s="63">
        <f>'5政府补贴测算'!I10</f>
        <v>0</v>
      </c>
      <c r="H5" s="63">
        <f ca="1">'5政府补贴测算'!J10</f>
        <v>2252.7685601094067</v>
      </c>
      <c r="I5" s="63">
        <f ca="1">'5政府补贴测算'!K10</f>
        <v>2254.6823201094066</v>
      </c>
      <c r="J5" s="63">
        <f ca="1">'5政府补贴测算'!L10</f>
        <v>2256.6343553094066</v>
      </c>
      <c r="K5" s="63">
        <f ca="1">'5政府补贴测算'!M10</f>
        <v>2200.6772647134067</v>
      </c>
      <c r="L5" s="63">
        <f ca="1">'5政府补贴测算'!N10</f>
        <v>2202.7081621354864</v>
      </c>
      <c r="M5" s="63">
        <f ca="1">'5政府补贴测算'!O10</f>
        <v>2204.7796775060078</v>
      </c>
      <c r="N5" s="63">
        <f ca="1">'5政府补贴测算'!P10</f>
        <v>2146.0470483589402</v>
      </c>
      <c r="O5" s="63">
        <f ca="1">'5政府补贴测算'!Q10</f>
        <v>2148.2022529504306</v>
      </c>
      <c r="P5" s="63">
        <f ca="1">'5政府补贴测算'!R10</f>
        <v>2150.4005616337513</v>
      </c>
      <c r="Q5" s="63">
        <f ca="1">'5政府补贴测算'!G16</f>
        <v>2088.7549829244881</v>
      </c>
      <c r="R5" s="63">
        <f ca="1">'5政府补贴测算'!H16</f>
        <v>2091.0421032786144</v>
      </c>
      <c r="S5" s="63">
        <f ca="1">'5政府补贴测算'!I16</f>
        <v>2093.3749660398244</v>
      </c>
      <c r="T5" s="63">
        <f ca="1">'5政府补贴测算'!J16</f>
        <v>2028.6722398116947</v>
      </c>
      <c r="U5" s="63">
        <f ca="1">'5政府补贴测算'!K16</f>
        <v>2031.0993502284566</v>
      </c>
      <c r="V5" s="63">
        <f ca="1">'5政府补贴测算'!L16</f>
        <v>2033.5750028535538</v>
      </c>
      <c r="W5" s="63">
        <f ca="1">'5政府补贴测算'!M16</f>
        <v>1965.6638099743625</v>
      </c>
      <c r="X5" s="63">
        <f ca="1">'5政府补贴测算'!N16</f>
        <v>1968.2394789655134</v>
      </c>
      <c r="Y5" s="63">
        <f ca="1">'5政府补贴测算'!O16</f>
        <v>1970.8666613364878</v>
      </c>
      <c r="Z5" s="63">
        <f ca="1">'5政府补贴测算'!P16</f>
        <v>1899.588210870251</v>
      </c>
      <c r="AA5" s="63">
        <f ca="1">'5政府补贴测算'!Q16</f>
        <v>1902.3215314090128</v>
      </c>
    </row>
    <row r="6" spans="2:27" ht="33.9" customHeight="1">
      <c r="B6" s="99">
        <v>2</v>
      </c>
      <c r="C6" s="100" t="s">
        <v>99</v>
      </c>
      <c r="D6" s="275">
        <f t="shared" si="2"/>
        <v>26755.745982988465</v>
      </c>
      <c r="E6" s="63">
        <f>'5政府补贴测算'!G9</f>
        <v>0</v>
      </c>
      <c r="F6" s="63">
        <f>'5政府补贴测算'!H9</f>
        <v>0</v>
      </c>
      <c r="G6" s="63">
        <f>'5政府补贴测算'!I9</f>
        <v>0</v>
      </c>
      <c r="H6" s="63">
        <f>'5政府补贴测算'!J9</f>
        <v>1158.96333</v>
      </c>
      <c r="I6" s="63">
        <f>'5政府补贴测算'!K9</f>
        <v>1158.96333</v>
      </c>
      <c r="J6" s="63">
        <f>'5政府补贴测算'!L9</f>
        <v>1158.96333</v>
      </c>
      <c r="K6" s="63">
        <f>'5政府补贴测算'!M9</f>
        <v>1216.9114965000001</v>
      </c>
      <c r="L6" s="63">
        <f>'5政府补贴测算'!N9</f>
        <v>1216.9114965000001</v>
      </c>
      <c r="M6" s="63">
        <f>'5政府补贴测算'!O9</f>
        <v>1216.9114965000001</v>
      </c>
      <c r="N6" s="63">
        <f>'5政府补贴测算'!P9</f>
        <v>1277.7570713250002</v>
      </c>
      <c r="O6" s="63">
        <f>'5政府补贴测算'!Q9</f>
        <v>1277.7570713250002</v>
      </c>
      <c r="P6" s="63">
        <f>'5政府补贴测算'!R9</f>
        <v>1277.7570713250002</v>
      </c>
      <c r="Q6" s="63">
        <f>'5政府补贴测算'!G15</f>
        <v>1341.6449248912502</v>
      </c>
      <c r="R6" s="63">
        <f>'5政府补贴测算'!H15</f>
        <v>1341.6449248912502</v>
      </c>
      <c r="S6" s="63">
        <f>'5政府补贴测算'!I15</f>
        <v>1341.6449248912502</v>
      </c>
      <c r="T6" s="63">
        <f>'5政府补贴测算'!J15</f>
        <v>1408.7271711358128</v>
      </c>
      <c r="U6" s="63">
        <f>'5政府补贴测算'!K15</f>
        <v>1408.7271711358128</v>
      </c>
      <c r="V6" s="63">
        <f>'5政府补贴测算'!L15</f>
        <v>1408.7271711358128</v>
      </c>
      <c r="W6" s="63">
        <f>'5政府补贴测算'!M15</f>
        <v>1479.1635296926036</v>
      </c>
      <c r="X6" s="63">
        <f>'5政府补贴测算'!N15</f>
        <v>1479.1635296926036</v>
      </c>
      <c r="Y6" s="63">
        <f>'5政府补贴测算'!O15</f>
        <v>1479.1635296926036</v>
      </c>
      <c r="Z6" s="63">
        <f>'5政府补贴测算'!P15</f>
        <v>1553.1217061772338</v>
      </c>
      <c r="AA6" s="63">
        <f>'5政府补贴测算'!Q15</f>
        <v>1553.1217061772338</v>
      </c>
    </row>
    <row r="7" spans="2:27" ht="33.9" customHeight="1">
      <c r="B7" s="99">
        <v>3</v>
      </c>
      <c r="C7" s="101" t="s">
        <v>156</v>
      </c>
      <c r="D7" s="275"/>
      <c r="E7" s="63"/>
      <c r="F7" s="63"/>
      <c r="G7" s="63"/>
      <c r="H7" s="63"/>
      <c r="I7" s="63"/>
      <c r="J7" s="63"/>
      <c r="K7" s="63"/>
      <c r="L7" s="63"/>
      <c r="M7" s="63"/>
      <c r="N7" s="63"/>
      <c r="O7" s="63"/>
      <c r="P7" s="63"/>
      <c r="Q7" s="63"/>
      <c r="R7" s="63"/>
      <c r="S7" s="63"/>
      <c r="T7" s="63"/>
      <c r="U7" s="63"/>
      <c r="V7" s="63"/>
      <c r="W7" s="63"/>
      <c r="X7" s="63"/>
      <c r="Y7" s="63"/>
      <c r="Z7" s="63"/>
      <c r="AA7" s="63"/>
    </row>
    <row r="8" spans="2:27" ht="33.9" customHeight="1">
      <c r="B8" s="99">
        <v>4</v>
      </c>
      <c r="C8" s="101" t="s">
        <v>157</v>
      </c>
      <c r="D8" s="275"/>
      <c r="E8" s="63"/>
      <c r="F8" s="63"/>
      <c r="G8" s="63"/>
      <c r="H8" s="63"/>
      <c r="I8" s="63"/>
      <c r="J8" s="63"/>
      <c r="K8" s="63"/>
      <c r="L8" s="63"/>
      <c r="M8" s="63"/>
      <c r="N8" s="63"/>
      <c r="O8" s="63"/>
      <c r="P8" s="63"/>
      <c r="Q8" s="63"/>
      <c r="R8" s="63"/>
      <c r="S8" s="63"/>
      <c r="T8" s="63"/>
      <c r="U8" s="63"/>
      <c r="V8" s="63"/>
      <c r="W8" s="63"/>
      <c r="X8" s="63"/>
      <c r="Y8" s="63"/>
      <c r="Z8" s="63"/>
      <c r="AA8" s="63"/>
    </row>
    <row r="9" spans="2:27" ht="33.9" customHeight="1">
      <c r="B9" s="97" t="s">
        <v>103</v>
      </c>
      <c r="C9" s="98" t="s">
        <v>158</v>
      </c>
      <c r="D9" s="275">
        <f t="shared" ca="1" si="2"/>
        <v>70483.919647302493</v>
      </c>
      <c r="E9" s="63">
        <f ca="1">E10+E11+E12+E13+E14+E15</f>
        <v>25295.485153760066</v>
      </c>
      <c r="F9" s="63">
        <f t="shared" ref="F9:V9" ca="1" si="3">F10+F11+F12+F13+F14+F15</f>
        <v>20092.40110815204</v>
      </c>
      <c r="G9" s="63">
        <f t="shared" ca="1" si="3"/>
        <v>20932.991540276031</v>
      </c>
      <c r="H9" s="63">
        <f t="shared" ca="1" si="3"/>
        <v>95.687999999999988</v>
      </c>
      <c r="I9" s="63">
        <f t="shared" ca="1" si="3"/>
        <v>101.01349189010939</v>
      </c>
      <c r="J9" s="63">
        <f t="shared" ca="1" si="3"/>
        <v>102.96744085010938</v>
      </c>
      <c r="K9" s="63">
        <f t="shared" ca="1" si="3"/>
        <v>104.96046878930939</v>
      </c>
      <c r="L9" s="63">
        <f t="shared" ca="1" si="3"/>
        <v>106.99335728729339</v>
      </c>
      <c r="M9" s="63">
        <f t="shared" ca="1" si="3"/>
        <v>109.06690355523706</v>
      </c>
      <c r="N9" s="63">
        <f t="shared" ca="1" si="3"/>
        <v>111.18192074853962</v>
      </c>
      <c r="O9" s="63">
        <f t="shared" ca="1" si="3"/>
        <v>113.33923828570822</v>
      </c>
      <c r="P9" s="63">
        <f t="shared" ca="1" si="3"/>
        <v>115.5397021736202</v>
      </c>
      <c r="Q9" s="63">
        <f t="shared" ca="1" si="3"/>
        <v>117.78417533929043</v>
      </c>
      <c r="R9" s="63">
        <f t="shared" ca="1" si="3"/>
        <v>120.07353796827405</v>
      </c>
      <c r="S9" s="63">
        <f t="shared" ca="1" si="3"/>
        <v>122.40868784983735</v>
      </c>
      <c r="T9" s="63">
        <f t="shared" ca="1" si="3"/>
        <v>124.7905407290319</v>
      </c>
      <c r="U9" s="63">
        <f t="shared" ca="1" si="3"/>
        <v>378.41166630099912</v>
      </c>
      <c r="V9" s="63">
        <f t="shared" ca="1" si="3"/>
        <v>380.88974603651315</v>
      </c>
      <c r="W9" s="63">
        <f t="shared" ref="W9:AA9" ca="1" si="4">W10+W11+W12+W13+W14+W15</f>
        <v>385.46573568550855</v>
      </c>
      <c r="X9" s="63">
        <f t="shared" ca="1" si="4"/>
        <v>388.04392984233732</v>
      </c>
      <c r="Y9" s="63">
        <f t="shared" ca="1" si="4"/>
        <v>390.67368788230272</v>
      </c>
      <c r="Z9" s="63">
        <f t="shared" ca="1" si="4"/>
        <v>395.50680681777709</v>
      </c>
      <c r="AA9" s="63">
        <f t="shared" ca="1" si="4"/>
        <v>398.24280708255708</v>
      </c>
    </row>
    <row r="10" spans="2:27" ht="33.9" customHeight="1">
      <c r="B10" s="99">
        <v>1</v>
      </c>
      <c r="C10" s="101" t="s">
        <v>122</v>
      </c>
      <c r="D10" s="275">
        <f t="shared" ca="1" si="2"/>
        <v>66320.87780218813</v>
      </c>
      <c r="E10" s="63">
        <f ca="1">'2投资计划表'!E10-'2投资计划表'!E12</f>
        <v>25295.485153760066</v>
      </c>
      <c r="F10" s="63">
        <f ca="1">'2投资计划表'!F10-'2投资计划表'!F12</f>
        <v>20092.40110815204</v>
      </c>
      <c r="G10" s="63">
        <f ca="1">'2投资计划表'!G10-'2投资计划表'!G12</f>
        <v>20932.991540276031</v>
      </c>
      <c r="H10" s="63"/>
      <c r="I10" s="63"/>
      <c r="J10" s="63"/>
      <c r="K10" s="63"/>
      <c r="L10" s="63"/>
      <c r="M10" s="63"/>
      <c r="N10" s="63"/>
      <c r="O10" s="63"/>
      <c r="P10" s="63"/>
      <c r="Q10" s="63"/>
      <c r="R10" s="63"/>
      <c r="S10" s="63"/>
      <c r="T10" s="63"/>
      <c r="U10" s="63"/>
      <c r="V10" s="63"/>
      <c r="W10" s="63"/>
      <c r="X10" s="63"/>
      <c r="Y10" s="63"/>
      <c r="Z10" s="63"/>
      <c r="AA10" s="63"/>
    </row>
    <row r="11" spans="2:27" ht="33.9" customHeight="1">
      <c r="B11" s="99">
        <v>2</v>
      </c>
      <c r="C11" s="101" t="s">
        <v>159</v>
      </c>
      <c r="D11" s="275"/>
      <c r="E11" s="63"/>
      <c r="F11" s="63"/>
      <c r="G11" s="63"/>
      <c r="H11" s="63"/>
      <c r="I11" s="63"/>
      <c r="J11" s="63"/>
      <c r="K11" s="63"/>
      <c r="L11" s="63"/>
      <c r="M11" s="63"/>
      <c r="N11" s="63"/>
      <c r="O11" s="63"/>
      <c r="P11" s="63"/>
      <c r="Q11" s="63"/>
      <c r="R11" s="63"/>
      <c r="S11" s="63"/>
      <c r="T11" s="63"/>
      <c r="U11" s="63"/>
      <c r="V11" s="63"/>
      <c r="W11" s="63"/>
      <c r="X11" s="63"/>
      <c r="Y11" s="63"/>
      <c r="Z11" s="63"/>
      <c r="AA11" s="63"/>
    </row>
    <row r="12" spans="2:27" ht="33.9" customHeight="1">
      <c r="B12" s="99">
        <v>3</v>
      </c>
      <c r="C12" s="100" t="s">
        <v>160</v>
      </c>
      <c r="D12" s="275">
        <f t="shared" si="2"/>
        <v>2324.9667213188382</v>
      </c>
      <c r="E12" s="63">
        <f>'5政府补贴测算'!G8</f>
        <v>0</v>
      </c>
      <c r="F12" s="63">
        <f>'5政府补贴测算'!H8</f>
        <v>0</v>
      </c>
      <c r="G12" s="63">
        <f>'5政府补贴测算'!I8</f>
        <v>0</v>
      </c>
      <c r="H12" s="63">
        <f>'5政府补贴测算'!J8</f>
        <v>95.687999999999988</v>
      </c>
      <c r="I12" s="63">
        <f>'5政府补贴测算'!K8</f>
        <v>97.601759999999985</v>
      </c>
      <c r="J12" s="63">
        <f>'5政府补贴测算'!L8</f>
        <v>99.553795199999982</v>
      </c>
      <c r="K12" s="63">
        <f>'5政府补贴测算'!M8</f>
        <v>101.54487110399998</v>
      </c>
      <c r="L12" s="63">
        <f>'5政府补贴测算'!N8</f>
        <v>103.57576852607998</v>
      </c>
      <c r="M12" s="63">
        <f>'5政府补贴测算'!O8</f>
        <v>105.64728389660158</v>
      </c>
      <c r="N12" s="63">
        <f>'5政府补贴测算'!P8</f>
        <v>107.76022957453361</v>
      </c>
      <c r="O12" s="63">
        <f>'5政府补贴测算'!Q8</f>
        <v>109.91543416602428</v>
      </c>
      <c r="P12" s="63">
        <f>'5政府补贴测算'!R8</f>
        <v>112.11374284934477</v>
      </c>
      <c r="Q12" s="63">
        <f>'5政府补贴测算'!G14</f>
        <v>114.35601770633167</v>
      </c>
      <c r="R12" s="63">
        <f>'5政府补贴测算'!H14</f>
        <v>116.64313806045831</v>
      </c>
      <c r="S12" s="63">
        <f>'5政府补贴测算'!I14</f>
        <v>118.97600082166748</v>
      </c>
      <c r="T12" s="63">
        <f>'5政府补贴测算'!J14</f>
        <v>121.35552083810083</v>
      </c>
      <c r="U12" s="63">
        <f>'5政府补贴测算'!K14</f>
        <v>123.78263125486285</v>
      </c>
      <c r="V12" s="63">
        <f>'5政府补贴测算'!L14</f>
        <v>126.2582838799601</v>
      </c>
      <c r="W12" s="63">
        <f>'5政府补贴测算'!M14</f>
        <v>128.78344955755929</v>
      </c>
      <c r="X12" s="63">
        <f>'5政府补贴测算'!N14</f>
        <v>131.35911854871048</v>
      </c>
      <c r="Y12" s="63">
        <f>'5政府补贴测算'!O14</f>
        <v>133.98630091968471</v>
      </c>
      <c r="Z12" s="63">
        <f>'5政府补贴测算'!P14</f>
        <v>136.6660269380784</v>
      </c>
      <c r="AA12" s="63">
        <f>'5政府补贴测算'!Q14</f>
        <v>139.39934747683998</v>
      </c>
    </row>
    <row r="13" spans="2:27" ht="33.9" customHeight="1">
      <c r="B13" s="99">
        <v>4</v>
      </c>
      <c r="C13" s="100" t="s">
        <v>161</v>
      </c>
      <c r="D13" s="275">
        <f t="shared" ca="1" si="2"/>
        <v>1582.9327879549965</v>
      </c>
      <c r="E13" s="63">
        <f>'8税金及附加'!F5</f>
        <v>0</v>
      </c>
      <c r="F13" s="63">
        <f>'8税金及附加'!G5</f>
        <v>0</v>
      </c>
      <c r="G13" s="63">
        <f>'8税金及附加'!H5</f>
        <v>0</v>
      </c>
      <c r="H13" s="63">
        <f ca="1">'8税金及附加'!I5</f>
        <v>0</v>
      </c>
      <c r="I13" s="63">
        <f ca="1">'8税金及附加'!J5</f>
        <v>0</v>
      </c>
      <c r="J13" s="63">
        <f ca="1">'8税金及附加'!K5</f>
        <v>0</v>
      </c>
      <c r="K13" s="63">
        <f ca="1">'8税金及附加'!L5</f>
        <v>0</v>
      </c>
      <c r="L13" s="63">
        <f ca="1">'8税金及附加'!M5</f>
        <v>0</v>
      </c>
      <c r="M13" s="63">
        <f ca="1">'8税金及附加'!N5</f>
        <v>0</v>
      </c>
      <c r="N13" s="63">
        <f ca="1">'8税金及附加'!O5</f>
        <v>0</v>
      </c>
      <c r="O13" s="63">
        <f ca="1">'8税金及附加'!P5</f>
        <v>0</v>
      </c>
      <c r="P13" s="63">
        <f ca="1">'8税金及附加'!Q5</f>
        <v>0</v>
      </c>
      <c r="Q13" s="63">
        <f ca="1">'8税金及附加'!R5</f>
        <v>0</v>
      </c>
      <c r="R13" s="63">
        <f ca="1">'8税金及附加'!S5</f>
        <v>0</v>
      </c>
      <c r="S13" s="63">
        <f ca="1">'8税金及附加'!T5</f>
        <v>0</v>
      </c>
      <c r="T13" s="63">
        <f ca="1">'8税金及附加'!U5</f>
        <v>0</v>
      </c>
      <c r="U13" s="63">
        <f ca="1">'8税金及附加'!V5</f>
        <v>224.27824610284711</v>
      </c>
      <c r="V13" s="63">
        <f ca="1">'8税金及附加'!W5</f>
        <v>224.27824610284711</v>
      </c>
      <c r="W13" s="63">
        <f ca="1">'8税金及附加'!X5</f>
        <v>226.10712853032135</v>
      </c>
      <c r="X13" s="63">
        <f ca="1">'8税金及附加'!Y5</f>
        <v>226.10712853032132</v>
      </c>
      <c r="Y13" s="63">
        <f ca="1">'8税金及附加'!Z5</f>
        <v>226.10712853032135</v>
      </c>
      <c r="Z13" s="63">
        <f ca="1">'8税金及附加'!AA5</f>
        <v>228.02745507916927</v>
      </c>
      <c r="AA13" s="63">
        <f ca="1">'8税金及附加'!AB5</f>
        <v>228.02745507916927</v>
      </c>
    </row>
    <row r="14" spans="2:27" ht="33.9" customHeight="1">
      <c r="B14" s="99">
        <v>5</v>
      </c>
      <c r="C14" s="101" t="s">
        <v>127</v>
      </c>
      <c r="D14" s="275">
        <f t="shared" ca="1" si="2"/>
        <v>255.14233584052036</v>
      </c>
      <c r="E14" s="63">
        <f>'8税金及附加'!F13</f>
        <v>0</v>
      </c>
      <c r="F14" s="63">
        <f>'8税金及附加'!G13</f>
        <v>0</v>
      </c>
      <c r="G14" s="63">
        <f>'8税金及附加'!H13</f>
        <v>0</v>
      </c>
      <c r="H14" s="63">
        <f ca="1">'8税金及附加'!I13</f>
        <v>0</v>
      </c>
      <c r="I14" s="63">
        <f ca="1">'8税金及附加'!J13</f>
        <v>3.4117318901094067</v>
      </c>
      <c r="J14" s="63">
        <f ca="1">'8税金及附加'!K13</f>
        <v>3.4136456501094066</v>
      </c>
      <c r="K14" s="63">
        <f ca="1">'8税金及附加'!L13</f>
        <v>3.4155976853094066</v>
      </c>
      <c r="L14" s="63">
        <f ca="1">'8税金及附加'!M13</f>
        <v>3.4175887612134068</v>
      </c>
      <c r="M14" s="63">
        <f ca="1">'8税金及附加'!N13</f>
        <v>3.4196196586354866</v>
      </c>
      <c r="N14" s="63">
        <f ca="1">'8税金及附加'!O13</f>
        <v>3.4216911740060079</v>
      </c>
      <c r="O14" s="63">
        <f ca="1">'8税金及附加'!P13</f>
        <v>3.4238041196839406</v>
      </c>
      <c r="P14" s="63">
        <f ca="1">'8税金及附加'!Q13</f>
        <v>3.4259593242754307</v>
      </c>
      <c r="Q14" s="63">
        <f ca="1">'8税金及附加'!R13</f>
        <v>3.4281576329587518</v>
      </c>
      <c r="R14" s="63">
        <f ca="1">'8税金及附加'!S13</f>
        <v>3.4303999078157386</v>
      </c>
      <c r="S14" s="63">
        <f ca="1">'8税金及附加'!T13</f>
        <v>3.4326870281698647</v>
      </c>
      <c r="T14" s="63">
        <f ca="1">'8税金及附加'!U13</f>
        <v>3.4350198909310747</v>
      </c>
      <c r="U14" s="63">
        <f ca="1">'8税金及附加'!V13</f>
        <v>30.35078894328916</v>
      </c>
      <c r="V14" s="63">
        <f ca="1">'8税金及附加'!W13</f>
        <v>30.353216053705925</v>
      </c>
      <c r="W14" s="63">
        <f ca="1">'8税金及附加'!X13</f>
        <v>30.575157597627928</v>
      </c>
      <c r="X14" s="63">
        <f ca="1">'8税金及附加'!Y13</f>
        <v>30.577682763305525</v>
      </c>
      <c r="Y14" s="63">
        <f ca="1">'8税金及附加'!Z13</f>
        <v>30.580258432296677</v>
      </c>
      <c r="Z14" s="63">
        <f ca="1">'8税金及附加'!AA13</f>
        <v>30.813324800529408</v>
      </c>
      <c r="AA14" s="63">
        <f ca="1">'8税金及附加'!AB13</f>
        <v>30.8160045265478</v>
      </c>
    </row>
    <row r="15" spans="2:27" ht="33.9" customHeight="1">
      <c r="B15" s="99">
        <v>6</v>
      </c>
      <c r="C15" s="101" t="s">
        <v>162</v>
      </c>
      <c r="D15" s="275"/>
      <c r="E15" s="63"/>
      <c r="F15" s="63"/>
      <c r="G15" s="63"/>
      <c r="H15" s="63"/>
      <c r="I15" s="63"/>
      <c r="J15" s="63"/>
      <c r="K15" s="63"/>
      <c r="L15" s="63"/>
      <c r="M15" s="63"/>
      <c r="N15" s="63"/>
      <c r="O15" s="63"/>
      <c r="P15" s="63"/>
      <c r="Q15" s="63"/>
      <c r="R15" s="63"/>
      <c r="S15" s="63"/>
      <c r="T15" s="63"/>
      <c r="U15" s="63"/>
      <c r="V15" s="63"/>
      <c r="W15" s="63"/>
      <c r="X15" s="63"/>
      <c r="Y15" s="63"/>
      <c r="Z15" s="63"/>
      <c r="AA15" s="63"/>
    </row>
    <row r="16" spans="2:27" ht="33.9" customHeight="1">
      <c r="B16" s="97" t="s">
        <v>163</v>
      </c>
      <c r="C16" s="98" t="s">
        <v>164</v>
      </c>
      <c r="D16" s="275">
        <f t="shared" ca="1" si="2"/>
        <v>-1838.0751237955114</v>
      </c>
      <c r="E16" s="90">
        <f ca="1">E4-E9</f>
        <v>-25295.485153760066</v>
      </c>
      <c r="F16" s="90">
        <f ca="1">F4-F9</f>
        <v>-20092.40110815204</v>
      </c>
      <c r="G16" s="90">
        <f ca="1">G4-G9</f>
        <v>-20932.991540276031</v>
      </c>
      <c r="H16" s="90">
        <f t="shared" ref="H16:V16" ca="1" si="5">H4-H9</f>
        <v>3316.0438901094067</v>
      </c>
      <c r="I16" s="90">
        <f t="shared" ca="1" si="5"/>
        <v>3312.6321582192973</v>
      </c>
      <c r="J16" s="90">
        <f t="shared" ca="1" si="5"/>
        <v>3312.630244459297</v>
      </c>
      <c r="K16" s="90">
        <f t="shared" ca="1" si="5"/>
        <v>3312.6282924240973</v>
      </c>
      <c r="L16" s="90">
        <f t="shared" ca="1" si="5"/>
        <v>3312.626301348193</v>
      </c>
      <c r="M16" s="90">
        <f t="shared" ca="1" si="5"/>
        <v>3312.6242704507708</v>
      </c>
      <c r="N16" s="90">
        <f t="shared" ca="1" si="5"/>
        <v>3312.6221989354008</v>
      </c>
      <c r="O16" s="90">
        <f t="shared" ca="1" si="5"/>
        <v>3312.6200859897226</v>
      </c>
      <c r="P16" s="90">
        <f t="shared" ca="1" si="5"/>
        <v>3312.6179307851312</v>
      </c>
      <c r="Q16" s="90">
        <f t="shared" ca="1" si="5"/>
        <v>3312.6157324764481</v>
      </c>
      <c r="R16" s="90">
        <f t="shared" ca="1" si="5"/>
        <v>3312.6134902015906</v>
      </c>
      <c r="S16" s="90">
        <f t="shared" ca="1" si="5"/>
        <v>3312.6112030812374</v>
      </c>
      <c r="T16" s="90">
        <f t="shared" ca="1" si="5"/>
        <v>3312.6088702184757</v>
      </c>
      <c r="U16" s="90">
        <f t="shared" ca="1" si="5"/>
        <v>3061.4148550632704</v>
      </c>
      <c r="V16" s="90">
        <f t="shared" ca="1" si="5"/>
        <v>3061.4124279528532</v>
      </c>
      <c r="W16" s="90">
        <f t="shared" ref="W16:AA16" ca="1" si="6">W4-W9</f>
        <v>3059.3616039814574</v>
      </c>
      <c r="X16" s="90">
        <f t="shared" ca="1" si="6"/>
        <v>3059.3590788157799</v>
      </c>
      <c r="Y16" s="90">
        <f t="shared" ca="1" si="6"/>
        <v>3059.3565031467888</v>
      </c>
      <c r="Z16" s="90">
        <f t="shared" ca="1" si="6"/>
        <v>3057.2031102297078</v>
      </c>
      <c r="AA16" s="90">
        <f t="shared" ca="1" si="6"/>
        <v>3057.2004305036894</v>
      </c>
    </row>
    <row r="17" spans="1:27" ht="33.9" customHeight="1">
      <c r="B17" s="97" t="s">
        <v>165</v>
      </c>
      <c r="C17" s="98" t="s">
        <v>166</v>
      </c>
      <c r="D17" s="275"/>
      <c r="E17" s="90">
        <f ca="1">E16</f>
        <v>-25295.485153760066</v>
      </c>
      <c r="F17" s="90">
        <f ca="1">E17+F16</f>
        <v>-45387.886261912106</v>
      </c>
      <c r="G17" s="90">
        <f t="shared" ref="G17:V17" ca="1" si="7">F17+G16</f>
        <v>-66320.87780218813</v>
      </c>
      <c r="H17" s="90">
        <f t="shared" ca="1" si="7"/>
        <v>-63004.83391207872</v>
      </c>
      <c r="I17" s="90">
        <f t="shared" ca="1" si="7"/>
        <v>-59692.201753859423</v>
      </c>
      <c r="J17" s="90">
        <f t="shared" ca="1" si="7"/>
        <v>-56379.571509400128</v>
      </c>
      <c r="K17" s="90">
        <f t="shared" ca="1" si="7"/>
        <v>-53066.943216976033</v>
      </c>
      <c r="L17" s="90">
        <f t="shared" ca="1" si="7"/>
        <v>-49754.316915627838</v>
      </c>
      <c r="M17" s="90">
        <f t="shared" ca="1" si="7"/>
        <v>-46441.692645177071</v>
      </c>
      <c r="N17" s="90">
        <f t="shared" ca="1" si="7"/>
        <v>-43129.070446241669</v>
      </c>
      <c r="O17" s="90">
        <f t="shared" ca="1" si="7"/>
        <v>-39816.450360251947</v>
      </c>
      <c r="P17" s="90">
        <f t="shared" ca="1" si="7"/>
        <v>-36503.832429466813</v>
      </c>
      <c r="Q17" s="90">
        <f t="shared" ca="1" si="7"/>
        <v>-33191.216696990363</v>
      </c>
      <c r="R17" s="90">
        <f t="shared" ca="1" si="7"/>
        <v>-29878.603206788772</v>
      </c>
      <c r="S17" s="90">
        <f t="shared" ca="1" si="7"/>
        <v>-26565.992003707535</v>
      </c>
      <c r="T17" s="90">
        <f t="shared" ca="1" si="7"/>
        <v>-23253.38313348906</v>
      </c>
      <c r="U17" s="90">
        <f t="shared" ca="1" si="7"/>
        <v>-20191.968278425789</v>
      </c>
      <c r="V17" s="90">
        <f t="shared" ca="1" si="7"/>
        <v>-17130.555850472934</v>
      </c>
      <c r="W17" s="90">
        <f t="shared" ref="W17" ca="1" si="8">V17+W16</f>
        <v>-14071.194246491477</v>
      </c>
      <c r="X17" s="90">
        <f t="shared" ref="X17" ca="1" si="9">W17+X16</f>
        <v>-11011.835167675697</v>
      </c>
      <c r="Y17" s="90">
        <f t="shared" ref="Y17" ca="1" si="10">X17+Y16</f>
        <v>-7952.4786645289087</v>
      </c>
      <c r="Z17" s="90">
        <f t="shared" ref="Z17" ca="1" si="11">Y17+Z16</f>
        <v>-4895.2755542992008</v>
      </c>
      <c r="AA17" s="90">
        <f t="shared" ref="AA17" ca="1" si="12">Z17+AA16</f>
        <v>-1838.0751237955114</v>
      </c>
    </row>
    <row r="18" spans="1:27" ht="33.9" customHeight="1">
      <c r="A18" s="23"/>
      <c r="B18" s="102" t="s">
        <v>167</v>
      </c>
      <c r="C18" s="98" t="s">
        <v>168</v>
      </c>
      <c r="D18" s="275">
        <f t="shared" ca="1" si="2"/>
        <v>61.129112559059131</v>
      </c>
      <c r="E18" s="90">
        <f>'9利润与利润分配表'!E24</f>
        <v>0</v>
      </c>
      <c r="F18" s="90">
        <f>'9利润与利润分配表'!F24</f>
        <v>0</v>
      </c>
      <c r="G18" s="90">
        <f>'9利润与利润分配表'!G24</f>
        <v>0</v>
      </c>
      <c r="H18" s="90">
        <f ca="1">'9利润与利润分配表'!H24</f>
        <v>7.4065274247311663</v>
      </c>
      <c r="I18" s="90">
        <f ca="1">'9利润与利润分配表'!I24</f>
        <v>6.5535944522038108</v>
      </c>
      <c r="J18" s="90">
        <f ca="1">'9利润与利润分配表'!J24</f>
        <v>6.5531160122036454</v>
      </c>
      <c r="K18" s="90">
        <f ca="1">'9利润与利润分配表'!K24</f>
        <v>6.1764714786071409</v>
      </c>
      <c r="L18" s="90">
        <f ca="1">'9利润与利润分配表'!L24</f>
        <v>6.1759737096311937</v>
      </c>
      <c r="M18" s="90">
        <f ca="1">'9利润与利润分配表'!M24</f>
        <v>6.1754659852753093</v>
      </c>
      <c r="N18" s="90">
        <f ca="1">'9利润与利润分配表'!N24</f>
        <v>5.7799837553964153</v>
      </c>
      <c r="O18" s="90">
        <f ca="1">'9利润与利润分配表'!O24</f>
        <v>5.7794555189768744</v>
      </c>
      <c r="P18" s="90">
        <f ca="1">'9利润与利润分配表'!P24</f>
        <v>5.7789167178290199</v>
      </c>
      <c r="Q18" s="90">
        <f ca="1">'9利润与利润分配表'!Q24</f>
        <v>5.3636545720698905</v>
      </c>
      <c r="R18" s="90">
        <f ca="1">'9利润与利润分配表'!R24</f>
        <v>5.363094003355684</v>
      </c>
      <c r="S18" s="90">
        <f ca="1">'9利润与利润分配表'!S24</f>
        <v>5.3625222232674332</v>
      </c>
      <c r="T18" s="90">
        <f ca="1">'9利润与利润分配表'!T24</f>
        <v>4.9264908105594145</v>
      </c>
      <c r="U18" s="90">
        <f ca="1">'9利润与利润分配表'!U24</f>
        <v>-1.802451452530363</v>
      </c>
      <c r="V18" s="90">
        <f ca="1">'9利润与利润分配表'!V24</f>
        <v>-1.8030582301344111</v>
      </c>
      <c r="W18" s="90">
        <f ca="1">'9利润与利润分配表'!W24</f>
        <v>-2.3157642229833755</v>
      </c>
      <c r="X18" s="90">
        <f ca="1">'9利润与利润分配表'!X24</f>
        <v>-2.3163955144028421</v>
      </c>
      <c r="Y18" s="90">
        <f ca="1">'9利润与利润分配表'!Y24</f>
        <v>-2.3170394316506417</v>
      </c>
      <c r="Z18" s="90">
        <f ca="1">'9利润与利润分配表'!Z24</f>
        <v>-2.855387660920826</v>
      </c>
      <c r="AA18" s="90">
        <f ca="1">'9利润与利润分配表'!AA24</f>
        <v>-2.8560575924254081</v>
      </c>
    </row>
    <row r="19" spans="1:27" ht="33.9" customHeight="1">
      <c r="B19" s="97" t="s">
        <v>169</v>
      </c>
      <c r="C19" s="98" t="s">
        <v>170</v>
      </c>
      <c r="D19" s="275">
        <f t="shared" ca="1" si="2"/>
        <v>-1899.2042363545816</v>
      </c>
      <c r="E19" s="90">
        <f ca="1">E16-E18</f>
        <v>-25295.485153760066</v>
      </c>
      <c r="F19" s="90">
        <f t="shared" ref="F19:U19" ca="1" si="13">F16-F18</f>
        <v>-20092.40110815204</v>
      </c>
      <c r="G19" s="90">
        <f t="shared" ca="1" si="13"/>
        <v>-20932.991540276031</v>
      </c>
      <c r="H19" s="90">
        <f t="shared" ca="1" si="13"/>
        <v>3308.6373626846753</v>
      </c>
      <c r="I19" s="90">
        <f t="shared" ca="1" si="13"/>
        <v>3306.0785637670933</v>
      </c>
      <c r="J19" s="90">
        <f t="shared" ca="1" si="13"/>
        <v>3306.0771284470934</v>
      </c>
      <c r="K19" s="90">
        <f t="shared" ca="1" si="13"/>
        <v>3306.45182094549</v>
      </c>
      <c r="L19" s="90">
        <f t="shared" ca="1" si="13"/>
        <v>3306.4503276385617</v>
      </c>
      <c r="M19" s="90">
        <f t="shared" ca="1" si="13"/>
        <v>3306.4488044654954</v>
      </c>
      <c r="N19" s="90">
        <f t="shared" ca="1" si="13"/>
        <v>3306.8422151800041</v>
      </c>
      <c r="O19" s="90">
        <f t="shared" ca="1" si="13"/>
        <v>3306.840630470746</v>
      </c>
      <c r="P19" s="90">
        <f t="shared" ca="1" si="13"/>
        <v>3306.8390140673023</v>
      </c>
      <c r="Q19" s="90">
        <f t="shared" ca="1" si="13"/>
        <v>3307.252077904378</v>
      </c>
      <c r="R19" s="90">
        <f t="shared" ca="1" si="13"/>
        <v>3307.2503961982347</v>
      </c>
      <c r="S19" s="90">
        <f t="shared" ca="1" si="13"/>
        <v>3307.2486808579697</v>
      </c>
      <c r="T19" s="90">
        <f t="shared" ca="1" si="13"/>
        <v>3307.6823794079164</v>
      </c>
      <c r="U19" s="90">
        <f t="shared" ca="1" si="13"/>
        <v>3063.2173065158008</v>
      </c>
      <c r="V19" s="90">
        <f t="shared" ref="V19:AA19" ca="1" si="14">V16-V18</f>
        <v>3063.2154861829877</v>
      </c>
      <c r="W19" s="90">
        <f t="shared" ca="1" si="14"/>
        <v>3061.6773682044409</v>
      </c>
      <c r="X19" s="90">
        <f t="shared" ca="1" si="14"/>
        <v>3061.6754743301826</v>
      </c>
      <c r="Y19" s="90">
        <f t="shared" ca="1" si="14"/>
        <v>3061.6735425784395</v>
      </c>
      <c r="Z19" s="90">
        <f t="shared" ca="1" si="14"/>
        <v>3060.0584978906286</v>
      </c>
      <c r="AA19" s="90">
        <f t="shared" ca="1" si="14"/>
        <v>3060.0564880961147</v>
      </c>
    </row>
    <row r="20" spans="1:27" ht="33.9" customHeight="1">
      <c r="B20" s="103" t="s">
        <v>171</v>
      </c>
      <c r="C20" s="104" t="s">
        <v>172</v>
      </c>
      <c r="D20" s="275"/>
      <c r="E20" s="105">
        <f ca="1">E19</f>
        <v>-25295.485153760066</v>
      </c>
      <c r="F20" s="105">
        <f ca="1">E20+F19</f>
        <v>-45387.886261912106</v>
      </c>
      <c r="G20" s="105">
        <f t="shared" ref="G20:V20" ca="1" si="15">F20+G19</f>
        <v>-66320.87780218813</v>
      </c>
      <c r="H20" s="105">
        <f t="shared" ca="1" si="15"/>
        <v>-63012.240439503454</v>
      </c>
      <c r="I20" s="105">
        <f t="shared" ca="1" si="15"/>
        <v>-59706.161875736361</v>
      </c>
      <c r="J20" s="105">
        <f t="shared" ca="1" si="15"/>
        <v>-56400.084747289271</v>
      </c>
      <c r="K20" s="105">
        <f t="shared" ca="1" si="15"/>
        <v>-53093.63292634378</v>
      </c>
      <c r="L20" s="105">
        <f t="shared" ca="1" si="15"/>
        <v>-49787.182598705222</v>
      </c>
      <c r="M20" s="105">
        <f t="shared" ca="1" si="15"/>
        <v>-46480.733794239728</v>
      </c>
      <c r="N20" s="105">
        <f t="shared" ca="1" si="15"/>
        <v>-43173.891579059724</v>
      </c>
      <c r="O20" s="105">
        <f t="shared" ca="1" si="15"/>
        <v>-39867.050948588978</v>
      </c>
      <c r="P20" s="105">
        <f t="shared" ca="1" si="15"/>
        <v>-36560.211934521678</v>
      </c>
      <c r="Q20" s="105">
        <f t="shared" ca="1" si="15"/>
        <v>-33252.959856617301</v>
      </c>
      <c r="R20" s="105">
        <f t="shared" ca="1" si="15"/>
        <v>-29945.709460419064</v>
      </c>
      <c r="S20" s="105">
        <f t="shared" ca="1" si="15"/>
        <v>-26638.460779561094</v>
      </c>
      <c r="T20" s="105">
        <f t="shared" ca="1" si="15"/>
        <v>-23330.778400153176</v>
      </c>
      <c r="U20" s="105">
        <f t="shared" ca="1" si="15"/>
        <v>-20267.561093637374</v>
      </c>
      <c r="V20" s="105">
        <f t="shared" ca="1" si="15"/>
        <v>-17204.345607454386</v>
      </c>
      <c r="W20" s="90">
        <f t="shared" ref="W20" ca="1" si="16">V20+W19</f>
        <v>-14142.668239249946</v>
      </c>
      <c r="X20" s="90">
        <f t="shared" ref="X20" ca="1" si="17">W20+X19</f>
        <v>-11080.992764919763</v>
      </c>
      <c r="Y20" s="90">
        <f t="shared" ref="Y20" ca="1" si="18">X20+Y19</f>
        <v>-8019.3192223413243</v>
      </c>
      <c r="Z20" s="90">
        <f t="shared" ref="Z20" ca="1" si="19">Y20+Z19</f>
        <v>-4959.2607244506962</v>
      </c>
      <c r="AA20" s="90">
        <f t="shared" ref="AA20" ca="1" si="20">Z20+AA19</f>
        <v>-1899.2042363545816</v>
      </c>
    </row>
    <row r="21" spans="1:27" ht="33.9" customHeight="1">
      <c r="B21" s="244" t="s">
        <v>173</v>
      </c>
      <c r="C21" s="277"/>
      <c r="D21" s="277"/>
      <c r="E21" s="277"/>
      <c r="F21" s="245" t="s">
        <v>174</v>
      </c>
      <c r="G21" s="277"/>
      <c r="H21" s="277"/>
      <c r="I21" s="277"/>
      <c r="J21" s="277"/>
      <c r="K21" s="277"/>
      <c r="L21" s="277"/>
      <c r="M21" s="277"/>
      <c r="N21" s="277"/>
      <c r="O21" s="277"/>
      <c r="P21" s="277"/>
      <c r="Q21" s="277"/>
      <c r="R21" s="606"/>
      <c r="S21" s="606"/>
      <c r="T21" s="606"/>
      <c r="U21" s="606"/>
      <c r="V21" s="606"/>
      <c r="W21" s="606"/>
      <c r="X21" s="606"/>
      <c r="Y21" s="606"/>
      <c r="Z21" s="606"/>
      <c r="AA21" s="612"/>
    </row>
    <row r="22" spans="1:27" ht="33.9" customHeight="1">
      <c r="B22" s="609" t="s">
        <v>338</v>
      </c>
      <c r="C22" s="610"/>
      <c r="D22" s="106">
        <f ca="1">IRR(E16:AA16)</f>
        <v>-2.4568673301477162E-3</v>
      </c>
      <c r="E22" s="107"/>
      <c r="F22" s="610" t="s">
        <v>175</v>
      </c>
      <c r="G22" s="610"/>
      <c r="H22" s="106">
        <f ca="1">IRR(E19:AA19)</f>
        <v>-2.5379974164941865E-3</v>
      </c>
      <c r="I22" s="107"/>
      <c r="J22" s="107"/>
      <c r="K22" s="107"/>
      <c r="L22" s="107"/>
      <c r="M22" s="107"/>
      <c r="N22" s="107"/>
      <c r="O22" s="107"/>
      <c r="P22" s="107"/>
      <c r="Q22" s="107"/>
      <c r="R22" s="607"/>
      <c r="S22" s="607"/>
      <c r="T22" s="607"/>
      <c r="U22" s="607"/>
      <c r="V22" s="607"/>
      <c r="W22" s="607"/>
      <c r="X22" s="607"/>
      <c r="Y22" s="607"/>
      <c r="Z22" s="607"/>
      <c r="AA22" s="613"/>
    </row>
    <row r="23" spans="1:27" ht="33.9" customHeight="1">
      <c r="B23" s="609" t="s">
        <v>176</v>
      </c>
      <c r="C23" s="610"/>
      <c r="D23" s="305">
        <f ca="1">SUM(D24:V24)</f>
        <v>0</v>
      </c>
      <c r="E23" s="306"/>
      <c r="F23" s="610" t="s">
        <v>176</v>
      </c>
      <c r="G23" s="610"/>
      <c r="H23" s="305">
        <f ca="1">SUM(D25:V25)</f>
        <v>0</v>
      </c>
      <c r="I23" s="298"/>
      <c r="J23" s="298"/>
      <c r="K23" s="298"/>
      <c r="L23" s="298"/>
      <c r="M23" s="298"/>
      <c r="N23" s="298"/>
      <c r="O23" s="298"/>
      <c r="P23" s="107"/>
      <c r="Q23" s="107"/>
      <c r="R23" s="608"/>
      <c r="S23" s="608"/>
      <c r="T23" s="608"/>
      <c r="U23" s="608"/>
      <c r="V23" s="607"/>
      <c r="W23" s="607"/>
      <c r="X23" s="607"/>
      <c r="Y23" s="607"/>
      <c r="Z23" s="607"/>
      <c r="AA23" s="613"/>
    </row>
    <row r="24" spans="1:27" ht="33.9" customHeight="1">
      <c r="B24" s="307" t="s">
        <v>177</v>
      </c>
      <c r="C24" s="297"/>
      <c r="D24" s="308">
        <f>IF(AND(D$17&gt;0,C$17&lt;0),D$3-D$17/D$16,0)</f>
        <v>0</v>
      </c>
      <c r="E24" s="308">
        <f t="shared" ref="E24:V24" ca="1" si="21">IF(AND(E$17&gt;0,D$17&lt;0),E$3-E$17/E$16,0)</f>
        <v>0</v>
      </c>
      <c r="F24" s="308">
        <f t="shared" ca="1" si="21"/>
        <v>0</v>
      </c>
      <c r="G24" s="308">
        <f t="shared" ca="1" si="21"/>
        <v>0</v>
      </c>
      <c r="H24" s="308">
        <f t="shared" ca="1" si="21"/>
        <v>0</v>
      </c>
      <c r="I24" s="308">
        <f t="shared" ca="1" si="21"/>
        <v>0</v>
      </c>
      <c r="J24" s="308">
        <f t="shared" ca="1" si="21"/>
        <v>0</v>
      </c>
      <c r="K24" s="308">
        <f t="shared" ca="1" si="21"/>
        <v>0</v>
      </c>
      <c r="L24" s="308">
        <f t="shared" ca="1" si="21"/>
        <v>0</v>
      </c>
      <c r="M24" s="308">
        <f t="shared" ca="1" si="21"/>
        <v>0</v>
      </c>
      <c r="N24" s="308">
        <f t="shared" ca="1" si="21"/>
        <v>0</v>
      </c>
      <c r="O24" s="308">
        <f t="shared" ca="1" si="21"/>
        <v>0</v>
      </c>
      <c r="P24" s="308">
        <f t="shared" ca="1" si="21"/>
        <v>0</v>
      </c>
      <c r="Q24" s="308">
        <f t="shared" ca="1" si="21"/>
        <v>0</v>
      </c>
      <c r="R24" s="341">
        <f t="shared" ca="1" si="21"/>
        <v>0</v>
      </c>
      <c r="S24" s="341">
        <f t="shared" ca="1" si="21"/>
        <v>0</v>
      </c>
      <c r="T24" s="341">
        <f t="shared" ca="1" si="21"/>
        <v>0</v>
      </c>
      <c r="U24" s="341">
        <f t="shared" ca="1" si="21"/>
        <v>0</v>
      </c>
      <c r="V24" s="308">
        <f t="shared" ca="1" si="21"/>
        <v>0</v>
      </c>
      <c r="W24" s="308">
        <f t="shared" ref="W24" ca="1" si="22">IF(AND(W$17&gt;0,V$17&lt;0),W$3-W$17/W$16,0)</f>
        <v>0</v>
      </c>
      <c r="X24" s="308">
        <f t="shared" ref="X24" ca="1" si="23">IF(AND(X$17&gt;0,W$17&lt;0),X$3-X$17/X$16,0)</f>
        <v>0</v>
      </c>
      <c r="Y24" s="308">
        <f t="shared" ref="Y24" ca="1" si="24">IF(AND(Y$17&gt;0,X$17&lt;0),Y$3-Y$17/Y$16,0)</f>
        <v>0</v>
      </c>
      <c r="Z24" s="308">
        <f t="shared" ref="Z24" ca="1" si="25">IF(AND(Z$17&gt;0,Y$17&lt;0),Z$3-Z$17/Z$16,0)</f>
        <v>0</v>
      </c>
      <c r="AA24" s="309">
        <f t="shared" ref="AA24" ca="1" si="26">IF(AND(AA$17&gt;0,Z$17&lt;0),AA$3-AA$17/AA$16,0)</f>
        <v>0</v>
      </c>
    </row>
    <row r="25" spans="1:27" ht="33.9" customHeight="1">
      <c r="B25" s="310" t="s">
        <v>178</v>
      </c>
      <c r="C25" s="299"/>
      <c r="D25" s="311">
        <f>IF(AND(D$20&gt;0,C$20&lt;0),D$3-D$20/D$19,0)</f>
        <v>0</v>
      </c>
      <c r="E25" s="311">
        <f t="shared" ref="E25:V25" ca="1" si="27">IF(AND(E$20&gt;0,D$20&lt;0),E$3-E$20/E$19,0)</f>
        <v>0</v>
      </c>
      <c r="F25" s="311">
        <f ca="1">IF(AND(F$20&gt;0,E$20&lt;0),F$3-F$20/F$19,0)</f>
        <v>0</v>
      </c>
      <c r="G25" s="311">
        <f t="shared" ca="1" si="27"/>
        <v>0</v>
      </c>
      <c r="H25" s="311">
        <f t="shared" ca="1" si="27"/>
        <v>0</v>
      </c>
      <c r="I25" s="311">
        <f t="shared" ca="1" si="27"/>
        <v>0</v>
      </c>
      <c r="J25" s="311">
        <f t="shared" ca="1" si="27"/>
        <v>0</v>
      </c>
      <c r="K25" s="311">
        <f t="shared" ca="1" si="27"/>
        <v>0</v>
      </c>
      <c r="L25" s="311">
        <f t="shared" ca="1" si="27"/>
        <v>0</v>
      </c>
      <c r="M25" s="311">
        <f t="shared" ca="1" si="27"/>
        <v>0</v>
      </c>
      <c r="N25" s="311">
        <f t="shared" ca="1" si="27"/>
        <v>0</v>
      </c>
      <c r="O25" s="311">
        <f t="shared" ca="1" si="27"/>
        <v>0</v>
      </c>
      <c r="P25" s="311">
        <f t="shared" ca="1" si="27"/>
        <v>0</v>
      </c>
      <c r="Q25" s="311">
        <f t="shared" ca="1" si="27"/>
        <v>0</v>
      </c>
      <c r="R25" s="311">
        <f t="shared" ca="1" si="27"/>
        <v>0</v>
      </c>
      <c r="S25" s="311">
        <f t="shared" ca="1" si="27"/>
        <v>0</v>
      </c>
      <c r="T25" s="311">
        <f t="shared" ca="1" si="27"/>
        <v>0</v>
      </c>
      <c r="U25" s="311">
        <f t="shared" ca="1" si="27"/>
        <v>0</v>
      </c>
      <c r="V25" s="311">
        <f t="shared" ca="1" si="27"/>
        <v>0</v>
      </c>
      <c r="W25" s="311">
        <f t="shared" ref="W25" ca="1" si="28">IF(AND(W$20&gt;0,V$20&lt;0),W$3-W$20/W$19,0)</f>
        <v>0</v>
      </c>
      <c r="X25" s="311">
        <f t="shared" ref="X25" ca="1" si="29">IF(AND(X$20&gt;0,W$20&lt;0),X$3-X$20/X$19,0)</f>
        <v>0</v>
      </c>
      <c r="Y25" s="311">
        <f t="shared" ref="Y25" ca="1" si="30">IF(AND(Y$20&gt;0,X$20&lt;0),Y$3-Y$20/Y$19,0)</f>
        <v>0</v>
      </c>
      <c r="Z25" s="311">
        <f t="shared" ref="Z25" ca="1" si="31">IF(AND(Z$20&gt;0,Y$20&lt;0),Z$3-Z$20/Z$19,0)</f>
        <v>0</v>
      </c>
      <c r="AA25" s="312">
        <f t="shared" ref="AA25" ca="1" si="32">IF(AND(AA$20&gt;0,Z$20&lt;0),AA$3-AA$20/AA$19,0)</f>
        <v>0</v>
      </c>
    </row>
  </sheetData>
  <mergeCells count="10">
    <mergeCell ref="R21:V23"/>
    <mergeCell ref="E2:G2"/>
    <mergeCell ref="B23:C23"/>
    <mergeCell ref="F23:G23"/>
    <mergeCell ref="B2:B3"/>
    <mergeCell ref="C2:C3"/>
    <mergeCell ref="B22:C22"/>
    <mergeCell ref="F22:G22"/>
    <mergeCell ref="H2:AA2"/>
    <mergeCell ref="W21:AA23"/>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opLeftCell="A7" zoomScale="70" zoomScaleNormal="70" workbookViewId="0">
      <selection activeCell="B2" sqref="B2:AA23"/>
    </sheetView>
  </sheetViews>
  <sheetFormatPr defaultColWidth="10.90625" defaultRowHeight="17.399999999999999"/>
  <cols>
    <col min="1" max="1" width="13.90625" style="28" bestFit="1" customWidth="1"/>
    <col min="2" max="2" width="11.36328125" style="28" bestFit="1" customWidth="1"/>
    <col min="3" max="3" width="26.90625" style="28" bestFit="1" customWidth="1"/>
    <col min="4" max="4" width="14.08984375" style="28" bestFit="1" customWidth="1"/>
    <col min="5" max="5" width="12.453125" style="28" bestFit="1" customWidth="1"/>
    <col min="6" max="9" width="13.90625" style="28" bestFit="1" customWidth="1"/>
    <col min="10" max="13" width="12.453125" style="28" bestFit="1" customWidth="1"/>
    <col min="14" max="14" width="13.453125" style="28" bestFit="1" customWidth="1"/>
    <col min="15" max="19" width="11.36328125" style="28" bestFit="1" customWidth="1"/>
    <col min="20" max="20" width="12.453125" style="28" bestFit="1" customWidth="1"/>
    <col min="21" max="21" width="12.90625" style="28" bestFit="1" customWidth="1"/>
    <col min="22" max="22" width="12.453125" style="28" bestFit="1" customWidth="1"/>
    <col min="23" max="23" width="11.36328125" style="28" bestFit="1" customWidth="1"/>
    <col min="24" max="27" width="12.453125" style="28" bestFit="1" customWidth="1"/>
    <col min="28" max="16384" width="10.90625" style="28"/>
  </cols>
  <sheetData>
    <row r="1" spans="1:27" ht="24.9" customHeight="1" thickBot="1">
      <c r="B1" s="188" t="s">
        <v>372</v>
      </c>
    </row>
    <row r="2" spans="1:27" ht="24.9" customHeight="1">
      <c r="B2" s="614" t="s">
        <v>112</v>
      </c>
      <c r="C2" s="616" t="s">
        <v>153</v>
      </c>
      <c r="D2" s="618" t="s">
        <v>85</v>
      </c>
      <c r="E2" s="585" t="s">
        <v>75</v>
      </c>
      <c r="F2" s="585"/>
      <c r="G2" s="585"/>
      <c r="H2" s="585" t="s">
        <v>497</v>
      </c>
      <c r="I2" s="585"/>
      <c r="J2" s="585"/>
      <c r="K2" s="585"/>
      <c r="L2" s="585"/>
      <c r="M2" s="585"/>
      <c r="N2" s="585"/>
      <c r="O2" s="585"/>
      <c r="P2" s="585"/>
      <c r="Q2" s="585"/>
      <c r="R2" s="585"/>
      <c r="S2" s="585"/>
      <c r="T2" s="585"/>
      <c r="U2" s="585"/>
      <c r="V2" s="585"/>
      <c r="W2" s="585"/>
      <c r="X2" s="585"/>
      <c r="Y2" s="585"/>
      <c r="Z2" s="585"/>
      <c r="AA2" s="585"/>
    </row>
    <row r="3" spans="1:27" ht="24.9" customHeight="1">
      <c r="B3" s="615"/>
      <c r="C3" s="617"/>
      <c r="D3" s="585"/>
      <c r="E3" s="241">
        <v>1</v>
      </c>
      <c r="F3" s="241">
        <v>2</v>
      </c>
      <c r="G3" s="241">
        <v>3</v>
      </c>
      <c r="H3" s="241">
        <v>4</v>
      </c>
      <c r="I3" s="241">
        <v>5</v>
      </c>
      <c r="J3" s="241">
        <v>6</v>
      </c>
      <c r="K3" s="241">
        <v>7</v>
      </c>
      <c r="L3" s="241">
        <v>8</v>
      </c>
      <c r="M3" s="241">
        <v>9</v>
      </c>
      <c r="N3" s="241">
        <v>10</v>
      </c>
      <c r="O3" s="241">
        <v>11</v>
      </c>
      <c r="P3" s="241">
        <v>12</v>
      </c>
      <c r="Q3" s="241">
        <v>13</v>
      </c>
      <c r="R3" s="241">
        <v>14</v>
      </c>
      <c r="S3" s="241">
        <v>15</v>
      </c>
      <c r="T3" s="241">
        <v>16</v>
      </c>
      <c r="U3" s="241">
        <v>17</v>
      </c>
      <c r="V3" s="241">
        <v>18</v>
      </c>
      <c r="W3" s="334">
        <v>19</v>
      </c>
      <c r="X3" s="334">
        <v>20</v>
      </c>
      <c r="Y3" s="334">
        <v>21</v>
      </c>
      <c r="Z3" s="334">
        <v>22</v>
      </c>
      <c r="AA3" s="334">
        <v>23</v>
      </c>
    </row>
    <row r="4" spans="1:27" ht="24.9" customHeight="1">
      <c r="A4" s="169"/>
      <c r="B4" s="108" t="s">
        <v>154</v>
      </c>
      <c r="C4" s="109" t="s">
        <v>155</v>
      </c>
      <c r="D4" s="89">
        <f ca="1">SUM(E4:AA4)</f>
        <v>68645.844523506981</v>
      </c>
      <c r="E4" s="89">
        <f>E5+E6+E7+E8</f>
        <v>0</v>
      </c>
      <c r="F4" s="89">
        <f t="shared" ref="F4:V4" si="0">F5+F6+F7+F8</f>
        <v>0</v>
      </c>
      <c r="G4" s="89">
        <f t="shared" si="0"/>
        <v>0</v>
      </c>
      <c r="H4" s="89">
        <f t="shared" ca="1" si="0"/>
        <v>3411.7318901094068</v>
      </c>
      <c r="I4" s="89">
        <f t="shared" ca="1" si="0"/>
        <v>3413.6456501094067</v>
      </c>
      <c r="J4" s="89">
        <f t="shared" ca="1" si="0"/>
        <v>3415.5976853094066</v>
      </c>
      <c r="K4" s="89">
        <f t="shared" ca="1" si="0"/>
        <v>3417.5887612134065</v>
      </c>
      <c r="L4" s="89">
        <f t="shared" ca="1" si="0"/>
        <v>3419.6196586354863</v>
      </c>
      <c r="M4" s="89">
        <f t="shared" ca="1" si="0"/>
        <v>3421.6911740060077</v>
      </c>
      <c r="N4" s="89">
        <f t="shared" ca="1" si="0"/>
        <v>3423.8041196839404</v>
      </c>
      <c r="O4" s="89">
        <f t="shared" ca="1" si="0"/>
        <v>3425.9593242754308</v>
      </c>
      <c r="P4" s="89">
        <f t="shared" ca="1" si="0"/>
        <v>3428.1576329587515</v>
      </c>
      <c r="Q4" s="89">
        <f t="shared" ca="1" si="0"/>
        <v>3430.3999078157385</v>
      </c>
      <c r="R4" s="89">
        <f t="shared" ca="1" si="0"/>
        <v>3432.6870281698648</v>
      </c>
      <c r="S4" s="89">
        <f t="shared" ca="1" si="0"/>
        <v>3435.0198909310748</v>
      </c>
      <c r="T4" s="89">
        <f t="shared" ca="1" si="0"/>
        <v>3437.3994109475075</v>
      </c>
      <c r="U4" s="89">
        <f t="shared" ca="1" si="0"/>
        <v>3439.8265213642694</v>
      </c>
      <c r="V4" s="89">
        <f t="shared" ca="1" si="0"/>
        <v>3442.3021739893666</v>
      </c>
      <c r="W4" s="89">
        <f t="shared" ref="W4:AA4" ca="1" si="1">W5+W6+W7+W8</f>
        <v>3444.8273396669661</v>
      </c>
      <c r="X4" s="89">
        <f t="shared" ca="1" si="1"/>
        <v>3447.403008658117</v>
      </c>
      <c r="Y4" s="89">
        <f t="shared" ca="1" si="1"/>
        <v>3450.0301910290914</v>
      </c>
      <c r="Z4" s="89">
        <f t="shared" ca="1" si="1"/>
        <v>3452.7099170474849</v>
      </c>
      <c r="AA4" s="89">
        <f t="shared" ca="1" si="1"/>
        <v>3455.4432375862466</v>
      </c>
    </row>
    <row r="5" spans="1:27" ht="24.9" customHeight="1">
      <c r="A5" s="169"/>
      <c r="B5" s="52">
        <v>1</v>
      </c>
      <c r="C5" s="110" t="s">
        <v>119</v>
      </c>
      <c r="D5" s="89">
        <f t="shared" ref="D5:D20" ca="1" si="2">SUM(E5:AA5)</f>
        <v>41890.098540518513</v>
      </c>
      <c r="E5" s="90">
        <f>'5政府补贴测算'!G10</f>
        <v>0</v>
      </c>
      <c r="F5" s="90">
        <f>'5政府补贴测算'!H10</f>
        <v>0</v>
      </c>
      <c r="G5" s="90">
        <f>'5政府补贴测算'!I10</f>
        <v>0</v>
      </c>
      <c r="H5" s="90">
        <f ca="1">'5政府补贴测算'!J10</f>
        <v>2252.7685601094067</v>
      </c>
      <c r="I5" s="90">
        <f ca="1">'5政府补贴测算'!K10</f>
        <v>2254.6823201094066</v>
      </c>
      <c r="J5" s="90">
        <f ca="1">'5政府补贴测算'!L10</f>
        <v>2256.6343553094066</v>
      </c>
      <c r="K5" s="90">
        <f ca="1">'5政府补贴测算'!M10</f>
        <v>2200.6772647134067</v>
      </c>
      <c r="L5" s="90">
        <f ca="1">'5政府补贴测算'!N10</f>
        <v>2202.7081621354864</v>
      </c>
      <c r="M5" s="90">
        <f ca="1">'5政府补贴测算'!O10</f>
        <v>2204.7796775060078</v>
      </c>
      <c r="N5" s="90">
        <f ca="1">'5政府补贴测算'!P10</f>
        <v>2146.0470483589402</v>
      </c>
      <c r="O5" s="90">
        <f ca="1">'5政府补贴测算'!Q10</f>
        <v>2148.2022529504306</v>
      </c>
      <c r="P5" s="90">
        <f ca="1">'5政府补贴测算'!R10</f>
        <v>2150.4005616337513</v>
      </c>
      <c r="Q5" s="90">
        <f ca="1">'5政府补贴测算'!G16</f>
        <v>2088.7549829244881</v>
      </c>
      <c r="R5" s="90">
        <f ca="1">'5政府补贴测算'!H16</f>
        <v>2091.0421032786144</v>
      </c>
      <c r="S5" s="90">
        <f ca="1">'5政府补贴测算'!I16</f>
        <v>2093.3749660398244</v>
      </c>
      <c r="T5" s="90">
        <f ca="1">'5政府补贴测算'!J16</f>
        <v>2028.6722398116947</v>
      </c>
      <c r="U5" s="90">
        <f ca="1">'5政府补贴测算'!K16</f>
        <v>2031.0993502284566</v>
      </c>
      <c r="V5" s="90">
        <f ca="1">'5政府补贴测算'!L16</f>
        <v>2033.5750028535538</v>
      </c>
      <c r="W5" s="90">
        <f ca="1">'5政府补贴测算'!M16</f>
        <v>1965.6638099743625</v>
      </c>
      <c r="X5" s="90">
        <f ca="1">'5政府补贴测算'!N16</f>
        <v>1968.2394789655134</v>
      </c>
      <c r="Y5" s="90">
        <f ca="1">'5政府补贴测算'!O16</f>
        <v>1970.8666613364878</v>
      </c>
      <c r="Z5" s="90">
        <f ca="1">'5政府补贴测算'!P16</f>
        <v>1899.588210870251</v>
      </c>
      <c r="AA5" s="90">
        <f ca="1">'5政府补贴测算'!Q16</f>
        <v>1902.3215314090128</v>
      </c>
    </row>
    <row r="6" spans="1:27" ht="24.9" customHeight="1">
      <c r="A6" s="169"/>
      <c r="B6" s="52">
        <v>2</v>
      </c>
      <c r="C6" s="110" t="s">
        <v>99</v>
      </c>
      <c r="D6" s="89">
        <f t="shared" si="2"/>
        <v>26755.745982988465</v>
      </c>
      <c r="E6" s="90">
        <f>'5政府补贴测算'!G9</f>
        <v>0</v>
      </c>
      <c r="F6" s="90">
        <f>'5政府补贴测算'!H9</f>
        <v>0</v>
      </c>
      <c r="G6" s="90">
        <f>'5政府补贴测算'!I9</f>
        <v>0</v>
      </c>
      <c r="H6" s="90">
        <f>'5政府补贴测算'!J9</f>
        <v>1158.96333</v>
      </c>
      <c r="I6" s="90">
        <f>'5政府补贴测算'!K9</f>
        <v>1158.96333</v>
      </c>
      <c r="J6" s="90">
        <f>'5政府补贴测算'!L9</f>
        <v>1158.96333</v>
      </c>
      <c r="K6" s="90">
        <f>'5政府补贴测算'!M9</f>
        <v>1216.9114965000001</v>
      </c>
      <c r="L6" s="90">
        <f>'5政府补贴测算'!N9</f>
        <v>1216.9114965000001</v>
      </c>
      <c r="M6" s="90">
        <f>'5政府补贴测算'!O9</f>
        <v>1216.9114965000001</v>
      </c>
      <c r="N6" s="90">
        <f>'5政府补贴测算'!P9</f>
        <v>1277.7570713250002</v>
      </c>
      <c r="O6" s="90">
        <f>'5政府补贴测算'!Q9</f>
        <v>1277.7570713250002</v>
      </c>
      <c r="P6" s="90">
        <f>'5政府补贴测算'!R9</f>
        <v>1277.7570713250002</v>
      </c>
      <c r="Q6" s="90">
        <f>'5政府补贴测算'!G15</f>
        <v>1341.6449248912502</v>
      </c>
      <c r="R6" s="90">
        <f>'5政府补贴测算'!H15</f>
        <v>1341.6449248912502</v>
      </c>
      <c r="S6" s="90">
        <f>'5政府补贴测算'!I15</f>
        <v>1341.6449248912502</v>
      </c>
      <c r="T6" s="90">
        <f>'5政府补贴测算'!J15</f>
        <v>1408.7271711358128</v>
      </c>
      <c r="U6" s="90">
        <f>'5政府补贴测算'!K15</f>
        <v>1408.7271711358128</v>
      </c>
      <c r="V6" s="90">
        <f>'5政府补贴测算'!L15</f>
        <v>1408.7271711358128</v>
      </c>
      <c r="W6" s="90">
        <f>'5政府补贴测算'!M15</f>
        <v>1479.1635296926036</v>
      </c>
      <c r="X6" s="90">
        <f>'5政府补贴测算'!N15</f>
        <v>1479.1635296926036</v>
      </c>
      <c r="Y6" s="90">
        <f>'5政府补贴测算'!O15</f>
        <v>1479.1635296926036</v>
      </c>
      <c r="Z6" s="90">
        <f>'5政府补贴测算'!P15</f>
        <v>1553.1217061772338</v>
      </c>
      <c r="AA6" s="90">
        <f>'5政府补贴测算'!Q15</f>
        <v>1553.1217061772338</v>
      </c>
    </row>
    <row r="7" spans="1:27" ht="24.9" customHeight="1">
      <c r="A7" s="169"/>
      <c r="B7" s="111">
        <v>3</v>
      </c>
      <c r="C7" s="112" t="s">
        <v>179</v>
      </c>
      <c r="D7" s="89"/>
      <c r="E7" s="90"/>
      <c r="F7" s="90"/>
      <c r="G7" s="90"/>
      <c r="H7" s="90"/>
      <c r="I7" s="90"/>
      <c r="J7" s="90"/>
      <c r="K7" s="90"/>
      <c r="L7" s="90"/>
      <c r="M7" s="90"/>
      <c r="N7" s="90"/>
      <c r="O7" s="90"/>
      <c r="P7" s="90"/>
      <c r="Q7" s="90"/>
      <c r="R7" s="90"/>
      <c r="S7" s="90"/>
      <c r="T7" s="90"/>
      <c r="U7" s="90"/>
      <c r="V7" s="90"/>
      <c r="W7" s="90"/>
      <c r="X7" s="90"/>
      <c r="Y7" s="90"/>
      <c r="Z7" s="90"/>
      <c r="AA7" s="90"/>
    </row>
    <row r="8" spans="1:27" ht="24.9" customHeight="1">
      <c r="A8" s="169"/>
      <c r="B8" s="111">
        <v>4</v>
      </c>
      <c r="C8" s="112" t="s">
        <v>180</v>
      </c>
      <c r="D8" s="89"/>
      <c r="E8" s="90"/>
      <c r="F8" s="90"/>
      <c r="G8" s="90"/>
      <c r="H8" s="90"/>
      <c r="I8" s="90"/>
      <c r="J8" s="90"/>
      <c r="K8" s="90"/>
      <c r="L8" s="90"/>
      <c r="M8" s="90"/>
      <c r="N8" s="90"/>
      <c r="O8" s="90"/>
      <c r="P8" s="90"/>
      <c r="Q8" s="90"/>
      <c r="R8" s="90"/>
      <c r="S8" s="90"/>
      <c r="T8" s="90"/>
      <c r="U8" s="90"/>
      <c r="V8" s="90"/>
      <c r="W8" s="90"/>
      <c r="X8" s="90"/>
      <c r="Y8" s="90"/>
      <c r="Z8" s="90"/>
      <c r="AA8" s="90"/>
    </row>
    <row r="9" spans="1:27" ht="24.9" customHeight="1">
      <c r="A9" s="169"/>
      <c r="B9" s="108" t="s">
        <v>103</v>
      </c>
      <c r="C9" s="109" t="s">
        <v>158</v>
      </c>
      <c r="D9" s="89">
        <f t="shared" ca="1" si="2"/>
        <v>107936.05748346174</v>
      </c>
      <c r="E9" s="89">
        <f ca="1">E10+E11+E12+E13+E14+E15</f>
        <v>4649.298650050303</v>
      </c>
      <c r="F9" s="89">
        <f t="shared" ref="F9:V9" ca="1" si="3">F10+F11+F12+F13+F14+F15</f>
        <v>3486.9739875377268</v>
      </c>
      <c r="G9" s="89">
        <f t="shared" ca="1" si="3"/>
        <v>3486.9739875377268</v>
      </c>
      <c r="H9" s="89">
        <f t="shared" ca="1" si="3"/>
        <v>4703.1764506610825</v>
      </c>
      <c r="I9" s="89">
        <f t="shared" ca="1" si="3"/>
        <v>4708.501942551191</v>
      </c>
      <c r="J9" s="89">
        <f t="shared" ca="1" si="3"/>
        <v>4710.455891511192</v>
      </c>
      <c r="K9" s="89">
        <f t="shared" ca="1" si="3"/>
        <v>4712.4489194503913</v>
      </c>
      <c r="L9" s="89">
        <f t="shared" ca="1" si="3"/>
        <v>4714.4818079483757</v>
      </c>
      <c r="M9" s="89">
        <f t="shared" ca="1" si="3"/>
        <v>4716.5553542163198</v>
      </c>
      <c r="N9" s="89">
        <f t="shared" ca="1" si="3"/>
        <v>4718.670371409622</v>
      </c>
      <c r="O9" s="89">
        <f t="shared" ca="1" si="3"/>
        <v>4720.8276889467907</v>
      </c>
      <c r="P9" s="89">
        <f t="shared" ca="1" si="3"/>
        <v>4723.0281528347023</v>
      </c>
      <c r="Q9" s="89">
        <f t="shared" ca="1" si="3"/>
        <v>4725.2726260003728</v>
      </c>
      <c r="R9" s="89">
        <f t="shared" ca="1" si="3"/>
        <v>4727.5619886293562</v>
      </c>
      <c r="S9" s="89">
        <f t="shared" ca="1" si="3"/>
        <v>4729.8971385109198</v>
      </c>
      <c r="T9" s="89">
        <f t="shared" ca="1" si="3"/>
        <v>4732.2789913901152</v>
      </c>
      <c r="U9" s="89">
        <f t="shared" ca="1" si="3"/>
        <v>4985.9001169620824</v>
      </c>
      <c r="V9" s="89">
        <f t="shared" ca="1" si="3"/>
        <v>4988.3781966975957</v>
      </c>
      <c r="W9" s="89">
        <f t="shared" ref="W9:AA9" ca="1" si="4">W10+W11+W12+W13+W14+W15</f>
        <v>4992.9541863465911</v>
      </c>
      <c r="X9" s="89">
        <f t="shared" ca="1" si="4"/>
        <v>4995.5323805034195</v>
      </c>
      <c r="Y9" s="89">
        <f t="shared" ca="1" si="4"/>
        <v>4998.1621385433846</v>
      </c>
      <c r="Z9" s="89">
        <f t="shared" ca="1" si="4"/>
        <v>5002.9952574788595</v>
      </c>
      <c r="AA9" s="89">
        <f t="shared" ca="1" si="4"/>
        <v>5005.7312577436405</v>
      </c>
    </row>
    <row r="10" spans="1:27" ht="24.9" customHeight="1">
      <c r="A10" s="169"/>
      <c r="B10" s="111">
        <v>1</v>
      </c>
      <c r="C10" s="112" t="s">
        <v>181</v>
      </c>
      <c r="D10" s="89">
        <f t="shared" ca="1" si="2"/>
        <v>11623.246625125757</v>
      </c>
      <c r="E10" s="90">
        <f ca="1">'2投资计划表'!E13</f>
        <v>4649.298650050303</v>
      </c>
      <c r="F10" s="90">
        <f ca="1">'2投资计划表'!F13</f>
        <v>3486.9739875377268</v>
      </c>
      <c r="G10" s="90">
        <f ca="1">'2投资计划表'!G13</f>
        <v>3486.9739875377268</v>
      </c>
      <c r="H10" s="90"/>
      <c r="I10" s="90"/>
      <c r="J10" s="90"/>
      <c r="K10" s="90"/>
      <c r="L10" s="90"/>
      <c r="M10" s="90"/>
      <c r="N10" s="90"/>
      <c r="O10" s="90"/>
      <c r="P10" s="90"/>
      <c r="Q10" s="90"/>
      <c r="R10" s="90"/>
      <c r="S10" s="90"/>
      <c r="T10" s="90"/>
      <c r="U10" s="90"/>
      <c r="V10" s="90"/>
      <c r="W10" s="90"/>
      <c r="X10" s="90"/>
      <c r="Y10" s="90"/>
      <c r="Z10" s="90"/>
      <c r="AA10" s="90"/>
    </row>
    <row r="11" spans="1:27" ht="24.9" customHeight="1">
      <c r="A11" s="169"/>
      <c r="B11" s="111">
        <v>2</v>
      </c>
      <c r="C11" s="112" t="s">
        <v>182</v>
      </c>
      <c r="D11" s="89">
        <f t="shared" ca="1" si="2"/>
        <v>54697.631177062387</v>
      </c>
      <c r="E11" s="90">
        <f>'4还本付息计划表'!F14</f>
        <v>0</v>
      </c>
      <c r="F11" s="90">
        <f>'4还本付息计划表'!G14</f>
        <v>0</v>
      </c>
      <c r="G11" s="90">
        <f>'4还本付息计划表'!H14</f>
        <v>0</v>
      </c>
      <c r="H11" s="90">
        <f ca="1">'4还本付息计划表'!I14</f>
        <v>1555.3606309810016</v>
      </c>
      <c r="I11" s="90">
        <f ca="1">'4还本付息计划表'!J14</f>
        <v>1642.1497541897411</v>
      </c>
      <c r="J11" s="90">
        <f ca="1">'4还本付息计划表'!K14</f>
        <v>1733.7817104735286</v>
      </c>
      <c r="K11" s="90">
        <f ca="1">'4还本付息计划表'!L14</f>
        <v>1830.5267299179518</v>
      </c>
      <c r="L11" s="90">
        <f ca="1">'4还本付息计划表'!M14</f>
        <v>1932.6701214473737</v>
      </c>
      <c r="M11" s="90">
        <f ca="1">'4还本付息计划表'!N14</f>
        <v>2040.5131142241371</v>
      </c>
      <c r="N11" s="90">
        <f ca="1">'4还本付息计划表'!O14</f>
        <v>2154.3737459978438</v>
      </c>
      <c r="O11" s="90">
        <f ca="1">'4还本付息计划表'!P14</f>
        <v>2274.5878010245233</v>
      </c>
      <c r="P11" s="90">
        <f ca="1">'4还本付息计划表'!Q14</f>
        <v>2401.5098003216917</v>
      </c>
      <c r="Q11" s="90">
        <f ca="1">'4还本付息计划表'!R14</f>
        <v>2535.5140471796421</v>
      </c>
      <c r="R11" s="90">
        <f ca="1">'4还本付息计划表'!S14</f>
        <v>2676.9957310122663</v>
      </c>
      <c r="S11" s="90">
        <f ca="1">'4还本付息计划表'!T14</f>
        <v>2826.372092802751</v>
      </c>
      <c r="T11" s="90">
        <f ca="1">'4还本付息计划表'!U14</f>
        <v>2984.0836555811447</v>
      </c>
      <c r="U11" s="90">
        <f ca="1">'4还本付息计划表'!V14</f>
        <v>3150.5955235625725</v>
      </c>
      <c r="V11" s="90">
        <f ca="1">'4还本付息计划表'!W14</f>
        <v>3326.3987537773637</v>
      </c>
      <c r="W11" s="90">
        <f ca="1">'4还本付息计划表'!X14</f>
        <v>3512.0118042381409</v>
      </c>
      <c r="X11" s="90">
        <f ca="1">'4还本付息计划表'!Y14</f>
        <v>3707.9820629146288</v>
      </c>
      <c r="Y11" s="90">
        <f ca="1">'4还本付息计划表'!Z14</f>
        <v>3914.8874620252654</v>
      </c>
      <c r="Z11" s="90">
        <f ca="1">'4还本付息计划表'!AA14</f>
        <v>4133.3381824062753</v>
      </c>
      <c r="AA11" s="90">
        <f ca="1">'4还本付息计划表'!AB14</f>
        <v>4363.9784529845456</v>
      </c>
    </row>
    <row r="12" spans="1:27" ht="24.9" customHeight="1">
      <c r="A12" s="169"/>
      <c r="B12" s="111">
        <v>3</v>
      </c>
      <c r="C12" s="112" t="s">
        <v>183</v>
      </c>
      <c r="D12" s="89">
        <f t="shared" ca="1" si="2"/>
        <v>37452.137836159258</v>
      </c>
      <c r="E12" s="90">
        <f>'4还本付息计划表'!F15</f>
        <v>0</v>
      </c>
      <c r="F12" s="90">
        <f>'4还本付息计划表'!G15</f>
        <v>0</v>
      </c>
      <c r="G12" s="90">
        <f>'4还本付息计划表'!H15</f>
        <v>0</v>
      </c>
      <c r="H12" s="90">
        <f ca="1">'4还本付息计划表'!I15</f>
        <v>3052.1278196800808</v>
      </c>
      <c r="I12" s="90">
        <f ca="1">'4还本付息计划表'!J15</f>
        <v>2965.3386964713413</v>
      </c>
      <c r="J12" s="90">
        <f ca="1">'4还本付息计划表'!K15</f>
        <v>2873.7067401875538</v>
      </c>
      <c r="K12" s="90">
        <f ca="1">'4还本付息计划表'!L15</f>
        <v>2776.9617207431306</v>
      </c>
      <c r="L12" s="90">
        <f ca="1">'4还本付息计划表'!M15</f>
        <v>2674.8183292137087</v>
      </c>
      <c r="M12" s="90">
        <f ca="1">'4还本付息计划表'!N15</f>
        <v>2566.9753364369453</v>
      </c>
      <c r="N12" s="90">
        <f ca="1">'4还本付息计划表'!O15</f>
        <v>2453.1147046632386</v>
      </c>
      <c r="O12" s="90">
        <f ca="1">'4还本付息计划表'!P15</f>
        <v>2332.9006496365591</v>
      </c>
      <c r="P12" s="90">
        <f ca="1">'4还本付息计划表'!Q15</f>
        <v>2205.9786503393907</v>
      </c>
      <c r="Q12" s="90">
        <f ca="1">'4还本付息计划表'!R15</f>
        <v>2071.9744034814403</v>
      </c>
      <c r="R12" s="90">
        <f ca="1">'4还本付息计划表'!S15</f>
        <v>1930.4927196488163</v>
      </c>
      <c r="S12" s="90">
        <f ca="1">'4还本付息计划表'!T15</f>
        <v>1781.1163578583314</v>
      </c>
      <c r="T12" s="90">
        <f ca="1">'4还本付息计划表'!U15</f>
        <v>1623.4047950799379</v>
      </c>
      <c r="U12" s="90">
        <f ca="1">'4还本付息计划表'!V15</f>
        <v>1456.8929270985102</v>
      </c>
      <c r="V12" s="90">
        <f ca="1">'4还本付息计划表'!W15</f>
        <v>1281.0896968837185</v>
      </c>
      <c r="W12" s="90">
        <f ca="1">'4还本付息计划表'!X15</f>
        <v>1095.4766464229415</v>
      </c>
      <c r="X12" s="90">
        <f ca="1">'4还本付息计划表'!Y15</f>
        <v>899.50638774645347</v>
      </c>
      <c r="Y12" s="90">
        <f ca="1">'4还本付息计划表'!Z15</f>
        <v>692.6009886358172</v>
      </c>
      <c r="Z12" s="90">
        <f ca="1">'4还本付息计划表'!AA15</f>
        <v>474.15026825480749</v>
      </c>
      <c r="AA12" s="90">
        <f ca="1">'4还本付息计划表'!AB15</f>
        <v>243.5099976765373</v>
      </c>
    </row>
    <row r="13" spans="1:27" ht="24.9" customHeight="1">
      <c r="A13" s="169"/>
      <c r="B13" s="111">
        <v>4</v>
      </c>
      <c r="C13" s="113" t="s">
        <v>184</v>
      </c>
      <c r="D13" s="89">
        <f t="shared" si="2"/>
        <v>2324.9667213188382</v>
      </c>
      <c r="E13" s="90">
        <f>'5政府补贴测算'!G8</f>
        <v>0</v>
      </c>
      <c r="F13" s="90">
        <f>'5政府补贴测算'!H8</f>
        <v>0</v>
      </c>
      <c r="G13" s="90">
        <f>'5政府补贴测算'!I8</f>
        <v>0</v>
      </c>
      <c r="H13" s="90">
        <f>'5政府补贴测算'!J8</f>
        <v>95.687999999999988</v>
      </c>
      <c r="I13" s="90">
        <f>'5政府补贴测算'!K8</f>
        <v>97.601759999999985</v>
      </c>
      <c r="J13" s="90">
        <f>'5政府补贴测算'!L8</f>
        <v>99.553795199999982</v>
      </c>
      <c r="K13" s="90">
        <f>'5政府补贴测算'!M8</f>
        <v>101.54487110399998</v>
      </c>
      <c r="L13" s="90">
        <f>'5政府补贴测算'!N8</f>
        <v>103.57576852607998</v>
      </c>
      <c r="M13" s="90">
        <f>'5政府补贴测算'!O8</f>
        <v>105.64728389660158</v>
      </c>
      <c r="N13" s="90">
        <f>'5政府补贴测算'!P8</f>
        <v>107.76022957453361</v>
      </c>
      <c r="O13" s="90">
        <f>'5政府补贴测算'!Q8</f>
        <v>109.91543416602428</v>
      </c>
      <c r="P13" s="90">
        <f>'5政府补贴测算'!R8</f>
        <v>112.11374284934477</v>
      </c>
      <c r="Q13" s="90">
        <f>'5政府补贴测算'!G14</f>
        <v>114.35601770633167</v>
      </c>
      <c r="R13" s="90">
        <f>'5政府补贴测算'!H14</f>
        <v>116.64313806045831</v>
      </c>
      <c r="S13" s="90">
        <f>'5政府补贴测算'!I14</f>
        <v>118.97600082166748</v>
      </c>
      <c r="T13" s="90">
        <f>'5政府补贴测算'!J14</f>
        <v>121.35552083810083</v>
      </c>
      <c r="U13" s="90">
        <f>'5政府补贴测算'!K14</f>
        <v>123.78263125486285</v>
      </c>
      <c r="V13" s="90">
        <f>'5政府补贴测算'!L14</f>
        <v>126.2582838799601</v>
      </c>
      <c r="W13" s="90">
        <f>'5政府补贴测算'!M14</f>
        <v>128.78344955755929</v>
      </c>
      <c r="X13" s="90">
        <f>'5政府补贴测算'!N14</f>
        <v>131.35911854871048</v>
      </c>
      <c r="Y13" s="90">
        <f>'5政府补贴测算'!O14</f>
        <v>133.98630091968471</v>
      </c>
      <c r="Z13" s="90">
        <f>'5政府补贴测算'!P14</f>
        <v>136.6660269380784</v>
      </c>
      <c r="AA13" s="90">
        <f>'5政府补贴测算'!Q14</f>
        <v>139.39934747683998</v>
      </c>
    </row>
    <row r="14" spans="1:27" ht="24.9" customHeight="1">
      <c r="A14" s="169"/>
      <c r="B14" s="111">
        <v>5</v>
      </c>
      <c r="C14" s="112" t="s">
        <v>127</v>
      </c>
      <c r="D14" s="89">
        <f t="shared" ca="1" si="2"/>
        <v>255.14233584052036</v>
      </c>
      <c r="E14" s="90">
        <f>'8税金及附加'!F13</f>
        <v>0</v>
      </c>
      <c r="F14" s="90">
        <f>'8税金及附加'!G13</f>
        <v>0</v>
      </c>
      <c r="G14" s="90">
        <f>'8税金及附加'!H13</f>
        <v>0</v>
      </c>
      <c r="H14" s="90">
        <f ca="1">'8税金及附加'!I13</f>
        <v>0</v>
      </c>
      <c r="I14" s="90">
        <f ca="1">'8税金及附加'!J13</f>
        <v>3.4117318901094067</v>
      </c>
      <c r="J14" s="90">
        <f ca="1">'8税金及附加'!K13</f>
        <v>3.4136456501094066</v>
      </c>
      <c r="K14" s="90">
        <f ca="1">'8税金及附加'!L13</f>
        <v>3.4155976853094066</v>
      </c>
      <c r="L14" s="90">
        <f ca="1">'8税金及附加'!M13</f>
        <v>3.4175887612134068</v>
      </c>
      <c r="M14" s="90">
        <f ca="1">'8税金及附加'!N13</f>
        <v>3.4196196586354866</v>
      </c>
      <c r="N14" s="90">
        <f ca="1">'8税金及附加'!O13</f>
        <v>3.4216911740060079</v>
      </c>
      <c r="O14" s="90">
        <f ca="1">'8税金及附加'!P13</f>
        <v>3.4238041196839406</v>
      </c>
      <c r="P14" s="90">
        <f ca="1">'8税金及附加'!Q13</f>
        <v>3.4259593242754307</v>
      </c>
      <c r="Q14" s="90">
        <f ca="1">'8税金及附加'!R13</f>
        <v>3.4281576329587518</v>
      </c>
      <c r="R14" s="90">
        <f ca="1">'8税金及附加'!S13</f>
        <v>3.4303999078157386</v>
      </c>
      <c r="S14" s="90">
        <f ca="1">'8税金及附加'!T13</f>
        <v>3.4326870281698647</v>
      </c>
      <c r="T14" s="90">
        <f ca="1">'8税金及附加'!U13</f>
        <v>3.4350198909310747</v>
      </c>
      <c r="U14" s="90">
        <f ca="1">'8税金及附加'!V13</f>
        <v>30.35078894328916</v>
      </c>
      <c r="V14" s="90">
        <f ca="1">'8税金及附加'!W13</f>
        <v>30.353216053705925</v>
      </c>
      <c r="W14" s="90">
        <f ca="1">'8税金及附加'!X13</f>
        <v>30.575157597627928</v>
      </c>
      <c r="X14" s="90">
        <f ca="1">'8税金及附加'!Y13</f>
        <v>30.577682763305525</v>
      </c>
      <c r="Y14" s="90">
        <f ca="1">'8税金及附加'!Z13</f>
        <v>30.580258432296677</v>
      </c>
      <c r="Z14" s="90">
        <f ca="1">'8税金及附加'!AA13</f>
        <v>30.813324800529408</v>
      </c>
      <c r="AA14" s="90">
        <f ca="1">'8税金及附加'!AB13</f>
        <v>30.8160045265478</v>
      </c>
    </row>
    <row r="15" spans="1:27" ht="24.9" customHeight="1">
      <c r="A15" s="169"/>
      <c r="B15" s="111">
        <v>6</v>
      </c>
      <c r="C15" s="112" t="s">
        <v>185</v>
      </c>
      <c r="D15" s="89">
        <f t="shared" ca="1" si="2"/>
        <v>1582.9327879549965</v>
      </c>
      <c r="E15" s="90">
        <f>'8税金及附加'!F5</f>
        <v>0</v>
      </c>
      <c r="F15" s="90">
        <f>'8税金及附加'!G5</f>
        <v>0</v>
      </c>
      <c r="G15" s="90">
        <f>'8税金及附加'!H5</f>
        <v>0</v>
      </c>
      <c r="H15" s="90">
        <f ca="1">'8税金及附加'!I5</f>
        <v>0</v>
      </c>
      <c r="I15" s="90">
        <f ca="1">'8税金及附加'!J5</f>
        <v>0</v>
      </c>
      <c r="J15" s="90">
        <f ca="1">'8税金及附加'!K5</f>
        <v>0</v>
      </c>
      <c r="K15" s="90">
        <f ca="1">'8税金及附加'!L5</f>
        <v>0</v>
      </c>
      <c r="L15" s="90">
        <f ca="1">'8税金及附加'!M5</f>
        <v>0</v>
      </c>
      <c r="M15" s="90">
        <f ca="1">'8税金及附加'!N5</f>
        <v>0</v>
      </c>
      <c r="N15" s="90">
        <f ca="1">'8税金及附加'!O5</f>
        <v>0</v>
      </c>
      <c r="O15" s="90">
        <f ca="1">'8税金及附加'!P5</f>
        <v>0</v>
      </c>
      <c r="P15" s="90">
        <f ca="1">'8税金及附加'!Q5</f>
        <v>0</v>
      </c>
      <c r="Q15" s="90">
        <f ca="1">'8税金及附加'!R5</f>
        <v>0</v>
      </c>
      <c r="R15" s="90">
        <f ca="1">'8税金及附加'!S5</f>
        <v>0</v>
      </c>
      <c r="S15" s="90">
        <f ca="1">'8税金及附加'!T5</f>
        <v>0</v>
      </c>
      <c r="T15" s="90">
        <f ca="1">'8税金及附加'!U5</f>
        <v>0</v>
      </c>
      <c r="U15" s="90">
        <f ca="1">'8税金及附加'!V5</f>
        <v>224.27824610284711</v>
      </c>
      <c r="V15" s="90">
        <f ca="1">'8税金及附加'!W5</f>
        <v>224.27824610284711</v>
      </c>
      <c r="W15" s="90">
        <f ca="1">'8税金及附加'!X5</f>
        <v>226.10712853032135</v>
      </c>
      <c r="X15" s="90">
        <f ca="1">'8税金及附加'!Y5</f>
        <v>226.10712853032132</v>
      </c>
      <c r="Y15" s="90">
        <f ca="1">'8税金及附加'!Z5</f>
        <v>226.10712853032135</v>
      </c>
      <c r="Z15" s="90">
        <f ca="1">'8税金及附加'!AA5</f>
        <v>228.02745507916927</v>
      </c>
      <c r="AA15" s="90">
        <f ca="1">'8税金及附加'!AB5</f>
        <v>228.02745507916927</v>
      </c>
    </row>
    <row r="16" spans="1:27" ht="24.9" customHeight="1">
      <c r="A16" s="169"/>
      <c r="B16" s="111">
        <v>7</v>
      </c>
      <c r="C16" s="112" t="s">
        <v>186</v>
      </c>
      <c r="D16" s="89">
        <f t="shared" ca="1" si="2"/>
        <v>-5914.6808709845745</v>
      </c>
      <c r="E16" s="90">
        <f>'9利润与利润分配表'!E18</f>
        <v>0</v>
      </c>
      <c r="F16" s="90">
        <f>'9利润与利润分配表'!F18</f>
        <v>0</v>
      </c>
      <c r="G16" s="90">
        <f>'9利润与利润分配表'!G18</f>
        <v>0</v>
      </c>
      <c r="H16" s="90">
        <f>'9利润与利润分配表'!H18</f>
        <v>0</v>
      </c>
      <c r="I16" s="90">
        <f>'9利润与利润分配表'!I18</f>
        <v>0</v>
      </c>
      <c r="J16" s="90">
        <f>'9利润与利润分配表'!J18</f>
        <v>0</v>
      </c>
      <c r="K16" s="90">
        <f>'9利润与利润分配表'!K18</f>
        <v>0</v>
      </c>
      <c r="L16" s="90">
        <f>'9利润与利润分配表'!L18</f>
        <v>0</v>
      </c>
      <c r="M16" s="90">
        <f>'9利润与利润分配表'!M18</f>
        <v>0</v>
      </c>
      <c r="N16" s="90">
        <f>'9利润与利润分配表'!N18</f>
        <v>0</v>
      </c>
      <c r="O16" s="90">
        <f>'9利润与利润分配表'!O18</f>
        <v>0</v>
      </c>
      <c r="P16" s="90">
        <f>'9利润与利润分配表'!P18</f>
        <v>0</v>
      </c>
      <c r="Q16" s="90">
        <f ca="1">'9利润与利润分配表'!Q18</f>
        <v>-3044.5066275902414</v>
      </c>
      <c r="R16" s="90">
        <f ca="1">'9利润与利润分配表'!R18</f>
        <v>-477.2600859088484</v>
      </c>
      <c r="S16" s="90">
        <f ca="1">'9利润与利润分配表'!S18</f>
        <v>-439.91656724131542</v>
      </c>
      <c r="T16" s="90">
        <f ca="1">'9利润与利润分配表'!T18</f>
        <v>-400.92470795942506</v>
      </c>
      <c r="U16" s="90">
        <f ca="1">'9利润与利润分配表'!U18</f>
        <v>-366.02568322715791</v>
      </c>
      <c r="V16" s="90">
        <f ca="1">'9利润与利润分配表'!V18</f>
        <v>-322.07548245106403</v>
      </c>
      <c r="W16" s="90">
        <f ca="1">'9利润与利润分配表'!W18</f>
        <v>-276.18492582871875</v>
      </c>
      <c r="X16" s="90">
        <f ca="1">'9利润与利润分配表'!X18</f>
        <v>-227.19299245101621</v>
      </c>
      <c r="Y16" s="90">
        <f ca="1">'9利润与利润分配表'!Y18</f>
        <v>-175.46728659060494</v>
      </c>
      <c r="Z16" s="90">
        <f ca="1">'9利润与利润分配表'!Z18</f>
        <v>-121.3929547246227</v>
      </c>
      <c r="AA16" s="90">
        <f ca="1">'9利润与利润分配表'!AA18</f>
        <v>-63.733557011559732</v>
      </c>
    </row>
    <row r="17" spans="1:27" ht="24.9" customHeight="1">
      <c r="A17" s="169"/>
      <c r="B17" s="111">
        <v>8</v>
      </c>
      <c r="C17" s="112" t="s">
        <v>162</v>
      </c>
      <c r="D17" s="89"/>
      <c r="E17" s="90"/>
      <c r="F17" s="90"/>
      <c r="G17" s="90"/>
      <c r="H17" s="90"/>
      <c r="I17" s="90"/>
      <c r="J17" s="90"/>
      <c r="K17" s="90"/>
      <c r="L17" s="90"/>
      <c r="M17" s="90"/>
      <c r="N17" s="90"/>
      <c r="O17" s="90"/>
      <c r="P17" s="90"/>
      <c r="Q17" s="90"/>
      <c r="R17" s="90"/>
      <c r="S17" s="90"/>
      <c r="T17" s="90"/>
      <c r="U17" s="90"/>
      <c r="V17" s="90"/>
      <c r="W17" s="90"/>
      <c r="X17" s="90"/>
      <c r="Y17" s="90"/>
      <c r="Z17" s="90"/>
      <c r="AA17" s="90"/>
    </row>
    <row r="18" spans="1:27" ht="24.9" customHeight="1">
      <c r="A18" s="169"/>
      <c r="B18" s="114" t="s">
        <v>187</v>
      </c>
      <c r="C18" s="109" t="s">
        <v>188</v>
      </c>
      <c r="D18" s="89">
        <f t="shared" ca="1" si="2"/>
        <v>-39290.212959954784</v>
      </c>
      <c r="E18" s="90">
        <f ca="1">E4-E9</f>
        <v>-4649.298650050303</v>
      </c>
      <c r="F18" s="90">
        <f t="shared" ref="F18:Q18" ca="1" si="5">F4-F9</f>
        <v>-3486.9739875377268</v>
      </c>
      <c r="G18" s="90">
        <f t="shared" ca="1" si="5"/>
        <v>-3486.9739875377268</v>
      </c>
      <c r="H18" s="90">
        <f t="shared" ca="1" si="5"/>
        <v>-1291.4445605516757</v>
      </c>
      <c r="I18" s="90">
        <f t="shared" ca="1" si="5"/>
        <v>-1294.8562924417843</v>
      </c>
      <c r="J18" s="90">
        <f t="shared" ca="1" si="5"/>
        <v>-1294.8582062017854</v>
      </c>
      <c r="K18" s="90">
        <f t="shared" ca="1" si="5"/>
        <v>-1294.8601582369847</v>
      </c>
      <c r="L18" s="90">
        <f t="shared" ca="1" si="5"/>
        <v>-1294.8621493128894</v>
      </c>
      <c r="M18" s="90">
        <f t="shared" ca="1" si="5"/>
        <v>-1294.864180210312</v>
      </c>
      <c r="N18" s="90">
        <f t="shared" ca="1" si="5"/>
        <v>-1294.8662517256816</v>
      </c>
      <c r="O18" s="90">
        <f t="shared" ca="1" si="5"/>
        <v>-1294.8683646713598</v>
      </c>
      <c r="P18" s="90">
        <f t="shared" ca="1" si="5"/>
        <v>-1294.8705198759508</v>
      </c>
      <c r="Q18" s="90">
        <f t="shared" ca="1" si="5"/>
        <v>-1294.8727181846343</v>
      </c>
      <c r="R18" s="90">
        <f ca="1">R4-R9</f>
        <v>-1294.8749604594914</v>
      </c>
      <c r="S18" s="90">
        <f t="shared" ref="S18:U18" ca="1" si="6">S4-S9</f>
        <v>-1294.8772475798451</v>
      </c>
      <c r="T18" s="90">
        <f t="shared" ca="1" si="6"/>
        <v>-1294.8795804426077</v>
      </c>
      <c r="U18" s="90">
        <f t="shared" ca="1" si="6"/>
        <v>-1546.073595597813</v>
      </c>
      <c r="V18" s="90">
        <f t="shared" ref="V18:AA18" ca="1" si="7">V4-V9</f>
        <v>-1546.0760227082292</v>
      </c>
      <c r="W18" s="90">
        <f t="shared" ca="1" si="7"/>
        <v>-1548.126846679625</v>
      </c>
      <c r="X18" s="90">
        <f t="shared" ca="1" si="7"/>
        <v>-1548.1293718453026</v>
      </c>
      <c r="Y18" s="90">
        <f t="shared" ca="1" si="7"/>
        <v>-1548.1319475142932</v>
      </c>
      <c r="Z18" s="90">
        <f t="shared" ca="1" si="7"/>
        <v>-1550.2853404313746</v>
      </c>
      <c r="AA18" s="90">
        <f t="shared" ca="1" si="7"/>
        <v>-1550.2880201573939</v>
      </c>
    </row>
    <row r="19" spans="1:27" ht="24.9" customHeight="1">
      <c r="A19" s="169"/>
      <c r="B19" s="114" t="s">
        <v>129</v>
      </c>
      <c r="C19" s="109" t="s">
        <v>189</v>
      </c>
      <c r="D19" s="89"/>
      <c r="E19" s="90">
        <f ca="1">E18</f>
        <v>-4649.298650050303</v>
      </c>
      <c r="F19" s="90">
        <f ca="1">E19+F18</f>
        <v>-8136.2726375880302</v>
      </c>
      <c r="G19" s="90">
        <f t="shared" ref="G19:V19" ca="1" si="8">F19+G18</f>
        <v>-11623.246625125757</v>
      </c>
      <c r="H19" s="90">
        <f t="shared" ca="1" si="8"/>
        <v>-12914.691185677433</v>
      </c>
      <c r="I19" s="90">
        <f t="shared" ca="1" si="8"/>
        <v>-14209.547478119217</v>
      </c>
      <c r="J19" s="90">
        <f t="shared" ca="1" si="8"/>
        <v>-15504.405684321002</v>
      </c>
      <c r="K19" s="90">
        <f t="shared" ca="1" si="8"/>
        <v>-16799.265842557987</v>
      </c>
      <c r="L19" s="90">
        <f t="shared" ca="1" si="8"/>
        <v>-18094.127991870875</v>
      </c>
      <c r="M19" s="90">
        <f t="shared" ca="1" si="8"/>
        <v>-19388.992172081187</v>
      </c>
      <c r="N19" s="90">
        <f t="shared" ca="1" si="8"/>
        <v>-20683.858423806869</v>
      </c>
      <c r="O19" s="90">
        <f t="shared" ca="1" si="8"/>
        <v>-21978.726788478227</v>
      </c>
      <c r="P19" s="90">
        <f t="shared" ca="1" si="8"/>
        <v>-23273.597308354176</v>
      </c>
      <c r="Q19" s="90">
        <f t="shared" ca="1" si="8"/>
        <v>-24568.470026538809</v>
      </c>
      <c r="R19" s="90">
        <f t="shared" ca="1" si="8"/>
        <v>-25863.344986998301</v>
      </c>
      <c r="S19" s="90">
        <f t="shared" ca="1" si="8"/>
        <v>-27158.222234578148</v>
      </c>
      <c r="T19" s="90">
        <f t="shared" ca="1" si="8"/>
        <v>-28453.101815020756</v>
      </c>
      <c r="U19" s="90">
        <f t="shared" ca="1" si="8"/>
        <v>-29999.175410618569</v>
      </c>
      <c r="V19" s="90">
        <f t="shared" ca="1" si="8"/>
        <v>-31545.251433326797</v>
      </c>
      <c r="W19" s="90">
        <f t="shared" ref="W19" ca="1" si="9">V19+W18</f>
        <v>-33093.378280006422</v>
      </c>
      <c r="X19" s="90">
        <f t="shared" ref="X19" ca="1" si="10">W19+X18</f>
        <v>-34641.507651851723</v>
      </c>
      <c r="Y19" s="90">
        <f t="shared" ref="Y19" ca="1" si="11">X19+Y18</f>
        <v>-36189.639599366019</v>
      </c>
      <c r="Z19" s="90">
        <f t="shared" ref="Z19" ca="1" si="12">Y19+Z18</f>
        <v>-37739.924939797391</v>
      </c>
      <c r="AA19" s="90">
        <f t="shared" ref="AA19" ca="1" si="13">Z19+AA18</f>
        <v>-39290.212959954784</v>
      </c>
    </row>
    <row r="20" spans="1:27" ht="24.9" customHeight="1">
      <c r="A20" s="169"/>
      <c r="B20" s="108" t="s">
        <v>167</v>
      </c>
      <c r="C20" s="109" t="s">
        <v>190</v>
      </c>
      <c r="D20" s="89">
        <f t="shared" ca="1" si="2"/>
        <v>-33375.532088970212</v>
      </c>
      <c r="E20" s="90">
        <f ca="1">E18-E16</f>
        <v>-4649.298650050303</v>
      </c>
      <c r="F20" s="90">
        <f t="shared" ref="F20:V20" ca="1" si="14">F18-F16</f>
        <v>-3486.9739875377268</v>
      </c>
      <c r="G20" s="90">
        <f t="shared" ca="1" si="14"/>
        <v>-3486.9739875377268</v>
      </c>
      <c r="H20" s="90">
        <f t="shared" ca="1" si="14"/>
        <v>-1291.4445605516757</v>
      </c>
      <c r="I20" s="90">
        <f t="shared" ca="1" si="14"/>
        <v>-1294.8562924417843</v>
      </c>
      <c r="J20" s="90">
        <f t="shared" ca="1" si="14"/>
        <v>-1294.8582062017854</v>
      </c>
      <c r="K20" s="90">
        <f t="shared" ca="1" si="14"/>
        <v>-1294.8601582369847</v>
      </c>
      <c r="L20" s="90">
        <f t="shared" ca="1" si="14"/>
        <v>-1294.8621493128894</v>
      </c>
      <c r="M20" s="90">
        <f t="shared" ca="1" si="14"/>
        <v>-1294.864180210312</v>
      </c>
      <c r="N20" s="90">
        <f t="shared" ca="1" si="14"/>
        <v>-1294.8662517256816</v>
      </c>
      <c r="O20" s="90">
        <f t="shared" ca="1" si="14"/>
        <v>-1294.8683646713598</v>
      </c>
      <c r="P20" s="90">
        <f t="shared" ca="1" si="14"/>
        <v>-1294.8705198759508</v>
      </c>
      <c r="Q20" s="90">
        <f t="shared" ca="1" si="14"/>
        <v>1749.633909405607</v>
      </c>
      <c r="R20" s="90">
        <f t="shared" ca="1" si="14"/>
        <v>-817.61487455064298</v>
      </c>
      <c r="S20" s="90">
        <f t="shared" ca="1" si="14"/>
        <v>-854.96068033852964</v>
      </c>
      <c r="T20" s="90">
        <f t="shared" ca="1" si="14"/>
        <v>-893.95487248318261</v>
      </c>
      <c r="U20" s="90">
        <f t="shared" ca="1" si="14"/>
        <v>-1180.047912370655</v>
      </c>
      <c r="V20" s="90">
        <f t="shared" ca="1" si="14"/>
        <v>-1224.0005402571651</v>
      </c>
      <c r="W20" s="90">
        <f t="shared" ref="W20:AA20" ca="1" si="15">W18-W16</f>
        <v>-1271.9419208509062</v>
      </c>
      <c r="X20" s="90">
        <f t="shared" ca="1" si="15"/>
        <v>-1320.9363793942864</v>
      </c>
      <c r="Y20" s="90">
        <f t="shared" ca="1" si="15"/>
        <v>-1372.6646609236882</v>
      </c>
      <c r="Z20" s="90">
        <f t="shared" ca="1" si="15"/>
        <v>-1428.8923857067518</v>
      </c>
      <c r="AA20" s="90">
        <f t="shared" ca="1" si="15"/>
        <v>-1486.5544631458342</v>
      </c>
    </row>
    <row r="21" spans="1:27" ht="24.9" customHeight="1">
      <c r="A21" s="169"/>
      <c r="B21" s="281" t="s">
        <v>169</v>
      </c>
      <c r="C21" s="282" t="s">
        <v>191</v>
      </c>
      <c r="D21" s="89"/>
      <c r="E21" s="105">
        <f ca="1">E20</f>
        <v>-4649.298650050303</v>
      </c>
      <c r="F21" s="105">
        <f ca="1">E21+F20</f>
        <v>-8136.2726375880302</v>
      </c>
      <c r="G21" s="105">
        <f t="shared" ref="G21:V21" ca="1" si="16">F21+G20</f>
        <v>-11623.246625125757</v>
      </c>
      <c r="H21" s="105">
        <f t="shared" ca="1" si="16"/>
        <v>-12914.691185677433</v>
      </c>
      <c r="I21" s="105">
        <f t="shared" ca="1" si="16"/>
        <v>-14209.547478119217</v>
      </c>
      <c r="J21" s="105">
        <f t="shared" ca="1" si="16"/>
        <v>-15504.405684321002</v>
      </c>
      <c r="K21" s="105">
        <f t="shared" ca="1" si="16"/>
        <v>-16799.265842557987</v>
      </c>
      <c r="L21" s="105">
        <f t="shared" ca="1" si="16"/>
        <v>-18094.127991870875</v>
      </c>
      <c r="M21" s="105">
        <f t="shared" ca="1" si="16"/>
        <v>-19388.992172081187</v>
      </c>
      <c r="N21" s="105">
        <f t="shared" ca="1" si="16"/>
        <v>-20683.858423806869</v>
      </c>
      <c r="O21" s="105">
        <f t="shared" ca="1" si="16"/>
        <v>-21978.726788478227</v>
      </c>
      <c r="P21" s="105">
        <f t="shared" ca="1" si="16"/>
        <v>-23273.597308354176</v>
      </c>
      <c r="Q21" s="105">
        <f t="shared" ca="1" si="16"/>
        <v>-21523.96339894857</v>
      </c>
      <c r="R21" s="105">
        <f t="shared" ca="1" si="16"/>
        <v>-22341.578273499214</v>
      </c>
      <c r="S21" s="105">
        <f t="shared" ca="1" si="16"/>
        <v>-23196.538953837742</v>
      </c>
      <c r="T21" s="105">
        <f t="shared" ca="1" si="16"/>
        <v>-24090.493826320926</v>
      </c>
      <c r="U21" s="105">
        <f t="shared" ca="1" si="16"/>
        <v>-25270.54173869158</v>
      </c>
      <c r="V21" s="105">
        <f t="shared" ca="1" si="16"/>
        <v>-26494.542278948746</v>
      </c>
      <c r="W21" s="105">
        <f t="shared" ref="W21" ca="1" si="17">V21+W20</f>
        <v>-27766.484199799652</v>
      </c>
      <c r="X21" s="105">
        <f t="shared" ref="X21" ca="1" si="18">W21+X20</f>
        <v>-29087.420579193938</v>
      </c>
      <c r="Y21" s="105">
        <f t="shared" ref="Y21" ca="1" si="19">X21+Y20</f>
        <v>-30460.085240117627</v>
      </c>
      <c r="Z21" s="105">
        <f t="shared" ref="Z21" ca="1" si="20">Y21+Z20</f>
        <v>-31888.97762582438</v>
      </c>
      <c r="AA21" s="105">
        <f t="shared" ref="AA21" ca="1" si="21">Z21+AA20</f>
        <v>-33375.532088970212</v>
      </c>
    </row>
    <row r="22" spans="1:27" ht="24.9" customHeight="1">
      <c r="B22" s="276"/>
      <c r="C22" s="283"/>
      <c r="D22" s="277"/>
      <c r="E22" s="284"/>
      <c r="F22" s="277"/>
      <c r="G22" s="277"/>
      <c r="H22" s="277"/>
      <c r="I22" s="277"/>
      <c r="J22" s="277"/>
      <c r="K22" s="277"/>
      <c r="L22" s="277"/>
      <c r="M22" s="277"/>
      <c r="N22" s="277"/>
      <c r="O22" s="277"/>
      <c r="P22" s="277"/>
      <c r="Q22" s="277"/>
      <c r="R22" s="277"/>
      <c r="S22" s="277"/>
      <c r="T22" s="277"/>
      <c r="U22" s="277"/>
      <c r="V22" s="336"/>
      <c r="W22" s="336"/>
      <c r="X22" s="336"/>
      <c r="Y22" s="336"/>
      <c r="Z22" s="336"/>
      <c r="AA22" s="337"/>
    </row>
    <row r="23" spans="1:27" ht="24.9" customHeight="1">
      <c r="B23" s="285"/>
      <c r="C23" s="286" t="s">
        <v>192</v>
      </c>
      <c r="D23" s="278"/>
      <c r="E23" s="124" t="e">
        <f ca="1">IRR(E20:AA20)</f>
        <v>#NUM!</v>
      </c>
      <c r="F23" s="278"/>
      <c r="G23" s="278"/>
      <c r="H23" s="278"/>
      <c r="I23" s="278"/>
      <c r="J23" s="278"/>
      <c r="K23" s="278"/>
      <c r="L23" s="278"/>
      <c r="M23" s="278"/>
      <c r="N23" s="278"/>
      <c r="O23" s="278"/>
      <c r="P23" s="278"/>
      <c r="Q23" s="278"/>
      <c r="R23" s="278"/>
      <c r="S23" s="278"/>
      <c r="T23" s="278"/>
      <c r="U23" s="278"/>
      <c r="V23" s="299"/>
      <c r="W23" s="299"/>
      <c r="X23" s="299"/>
      <c r="Y23" s="299"/>
      <c r="Z23" s="299"/>
      <c r="AA23" s="342"/>
    </row>
    <row r="24" spans="1:27" ht="24.9" customHeight="1"/>
  </sheetData>
  <mergeCells count="5">
    <mergeCell ref="B2:B3"/>
    <mergeCell ref="C2:C3"/>
    <mergeCell ref="D2:D3"/>
    <mergeCell ref="E2:G2"/>
    <mergeCell ref="H2:AA2"/>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35"/>
  <sheetViews>
    <sheetView topLeftCell="K20" zoomScaleNormal="100" workbookViewId="0">
      <selection activeCell="AA35" sqref="AA35"/>
    </sheetView>
  </sheetViews>
  <sheetFormatPr defaultColWidth="11" defaultRowHeight="15.6"/>
  <cols>
    <col min="2" max="2" width="11.08984375" style="21" bestFit="1" customWidth="1"/>
    <col min="3" max="3" width="37.08984375" style="21" bestFit="1" customWidth="1"/>
    <col min="4" max="6" width="13.90625" style="21" bestFit="1" customWidth="1"/>
    <col min="7" max="7" width="15" style="21" bestFit="1" customWidth="1"/>
    <col min="8" max="21" width="12.453125" style="21" bestFit="1" customWidth="1"/>
    <col min="22" max="27" width="12.453125" bestFit="1" customWidth="1"/>
  </cols>
  <sheetData>
    <row r="2" spans="2:27">
      <c r="B2" s="217" t="s">
        <v>372</v>
      </c>
    </row>
    <row r="3" spans="2:27" ht="24.9" customHeight="1">
      <c r="B3" s="589" t="s">
        <v>56</v>
      </c>
      <c r="C3" s="619" t="s">
        <v>100</v>
      </c>
      <c r="D3" s="585" t="s">
        <v>85</v>
      </c>
      <c r="E3" s="585" t="s">
        <v>75</v>
      </c>
      <c r="F3" s="585"/>
      <c r="G3" s="585"/>
      <c r="H3" s="585" t="s">
        <v>497</v>
      </c>
      <c r="I3" s="585"/>
      <c r="J3" s="585"/>
      <c r="K3" s="585"/>
      <c r="L3" s="585"/>
      <c r="M3" s="585"/>
      <c r="N3" s="585"/>
      <c r="O3" s="585"/>
      <c r="P3" s="585"/>
      <c r="Q3" s="585"/>
      <c r="R3" s="585"/>
      <c r="S3" s="585"/>
      <c r="T3" s="585"/>
      <c r="U3" s="585"/>
      <c r="V3" s="585"/>
      <c r="W3" s="585"/>
      <c r="X3" s="585"/>
      <c r="Y3" s="585"/>
      <c r="Z3" s="585"/>
      <c r="AA3" s="585"/>
    </row>
    <row r="4" spans="2:27" ht="24.9" customHeight="1">
      <c r="B4" s="589"/>
      <c r="C4" s="619"/>
      <c r="D4" s="585"/>
      <c r="E4" s="295">
        <v>1</v>
      </c>
      <c r="F4" s="295">
        <v>2</v>
      </c>
      <c r="G4" s="295">
        <v>3</v>
      </c>
      <c r="H4" s="295">
        <v>4</v>
      </c>
      <c r="I4" s="295">
        <v>5</v>
      </c>
      <c r="J4" s="295">
        <v>6</v>
      </c>
      <c r="K4" s="295">
        <v>7</v>
      </c>
      <c r="L4" s="295">
        <v>8</v>
      </c>
      <c r="M4" s="295">
        <v>9</v>
      </c>
      <c r="N4" s="295">
        <v>10</v>
      </c>
      <c r="O4" s="295">
        <v>11</v>
      </c>
      <c r="P4" s="295">
        <v>12</v>
      </c>
      <c r="Q4" s="295">
        <v>13</v>
      </c>
      <c r="R4" s="295">
        <v>14</v>
      </c>
      <c r="S4" s="295">
        <v>15</v>
      </c>
      <c r="T4" s="295">
        <v>16</v>
      </c>
      <c r="U4" s="295">
        <v>17</v>
      </c>
      <c r="V4" s="295">
        <v>18</v>
      </c>
      <c r="W4" s="334">
        <v>19</v>
      </c>
      <c r="X4" s="334">
        <v>20</v>
      </c>
      <c r="Y4" s="334">
        <v>21</v>
      </c>
      <c r="Z4" s="334">
        <v>22</v>
      </c>
      <c r="AA4" s="334">
        <v>23</v>
      </c>
    </row>
    <row r="5" spans="2:27" ht="24.9" customHeight="1">
      <c r="B5" s="210" t="s">
        <v>101</v>
      </c>
      <c r="C5" s="210" t="s">
        <v>193</v>
      </c>
      <c r="D5" s="94">
        <f ca="1">SUM(E5:AA5)</f>
        <v>69897.824763300421</v>
      </c>
      <c r="E5" s="94">
        <f>E6-E10</f>
        <v>-1591.2380167248518</v>
      </c>
      <c r="F5" s="94">
        <f t="shared" ref="F5:V5" si="0">F6-F10</f>
        <v>-1678.5732839977263</v>
      </c>
      <c r="G5" s="94">
        <f t="shared" si="0"/>
        <v>-1678.5732839977263</v>
      </c>
      <c r="H5" s="94">
        <f t="shared" ca="1" si="0"/>
        <v>3533.8370096464978</v>
      </c>
      <c r="I5" s="94">
        <f t="shared" ca="1" si="0"/>
        <v>3530.4252777563884</v>
      </c>
      <c r="J5" s="94">
        <f t="shared" ca="1" si="0"/>
        <v>3530.4233639963886</v>
      </c>
      <c r="K5" s="94">
        <f t="shared" ca="1" si="0"/>
        <v>3531.926038060375</v>
      </c>
      <c r="L5" s="94">
        <f t="shared" ca="1" si="0"/>
        <v>3531.9240469844704</v>
      </c>
      <c r="M5" s="94">
        <f t="shared" ca="1" si="0"/>
        <v>3531.9220160870482</v>
      </c>
      <c r="N5" s="94">
        <f t="shared" ca="1" si="0"/>
        <v>3533.4998019758241</v>
      </c>
      <c r="O5" s="94">
        <f t="shared" ca="1" si="0"/>
        <v>3533.4976890301459</v>
      </c>
      <c r="P5" s="94">
        <f t="shared" ca="1" si="0"/>
        <v>3533.4955338255545</v>
      </c>
      <c r="Q5" s="94">
        <f t="shared" ca="1" si="0"/>
        <v>6579.6588133814657</v>
      </c>
      <c r="R5" s="94">
        <f t="shared" ca="1" si="0"/>
        <v>4012.4100294252157</v>
      </c>
      <c r="S5" s="94">
        <f t="shared" ca="1" si="0"/>
        <v>3975.0642236373292</v>
      </c>
      <c r="T5" s="94">
        <f t="shared" ca="1" si="0"/>
        <v>3937.8118242807477</v>
      </c>
      <c r="U5" s="94">
        <f t="shared" ca="1" si="0"/>
        <v>3651.7187843932752</v>
      </c>
      <c r="V5" s="94">
        <f t="shared" ca="1" si="0"/>
        <v>3607.7661565067647</v>
      </c>
      <c r="W5" s="94">
        <f t="shared" ref="W5:AA5" ca="1" si="1">W6-W10</f>
        <v>3561.6536583404977</v>
      </c>
      <c r="X5" s="94">
        <f t="shared" ca="1" si="1"/>
        <v>3512.6591997971173</v>
      </c>
      <c r="Y5" s="94">
        <f t="shared" ca="1" si="1"/>
        <v>3460.9309182677148</v>
      </c>
      <c r="Z5" s="94">
        <f t="shared" ca="1" si="1"/>
        <v>3406.6235200334995</v>
      </c>
      <c r="AA5" s="94">
        <f t="shared" ca="1" si="1"/>
        <v>3348.9614425944183</v>
      </c>
    </row>
    <row r="6" spans="2:27" ht="24.9" customHeight="1">
      <c r="B6" s="25">
        <v>1</v>
      </c>
      <c r="C6" s="25" t="s">
        <v>194</v>
      </c>
      <c r="D6" s="94">
        <f t="shared" ref="D6:D35" ca="1" si="2">SUM(E6:AA6)</f>
        <v>73226.172212036487</v>
      </c>
      <c r="E6" s="94">
        <f>E7+E8+E9</f>
        <v>0</v>
      </c>
      <c r="F6" s="94">
        <f t="shared" ref="F6:V6" si="3">F7+F8+F9</f>
        <v>0</v>
      </c>
      <c r="G6" s="94">
        <f t="shared" si="3"/>
        <v>0</v>
      </c>
      <c r="H6" s="94">
        <f t="shared" ca="1" si="3"/>
        <v>3634.9413115332904</v>
      </c>
      <c r="I6" s="94">
        <f t="shared" ca="1" si="3"/>
        <v>3636.9633975710262</v>
      </c>
      <c r="J6" s="94">
        <f t="shared" ca="1" si="3"/>
        <v>3639.0259253295167</v>
      </c>
      <c r="K6" s="94">
        <f t="shared" ca="1" si="3"/>
        <v>3642.6343297423637</v>
      </c>
      <c r="L6" s="94">
        <f t="shared" ca="1" si="3"/>
        <v>3644.7801836222966</v>
      </c>
      <c r="M6" s="94">
        <f t="shared" ca="1" si="3"/>
        <v>3646.9689545798287</v>
      </c>
      <c r="N6" s="94">
        <f t="shared" ca="1" si="3"/>
        <v>3650.781358360658</v>
      </c>
      <c r="O6" s="94">
        <f t="shared" ca="1" si="3"/>
        <v>3653.0585556648743</v>
      </c>
      <c r="P6" s="94">
        <f t="shared" ca="1" si="3"/>
        <v>3655.3812969151754</v>
      </c>
      <c r="Q6" s="94">
        <f t="shared" ca="1" si="3"/>
        <v>3659.4093432648356</v>
      </c>
      <c r="R6" s="94">
        <f t="shared" ca="1" si="3"/>
        <v>3661.8259232616483</v>
      </c>
      <c r="S6" s="94">
        <f t="shared" ca="1" si="3"/>
        <v>3664.2908348583983</v>
      </c>
      <c r="T6" s="94">
        <f t="shared" ca="1" si="3"/>
        <v>3668.5468374751526</v>
      </c>
      <c r="U6" s="94">
        <f t="shared" ca="1" si="3"/>
        <v>3671.1113315004104</v>
      </c>
      <c r="V6" s="94">
        <f t="shared" ca="1" si="3"/>
        <v>3673.7271154061737</v>
      </c>
      <c r="W6" s="94">
        <f t="shared" ref="W6:AA6" ca="1" si="4">W7+W8+W9</f>
        <v>3678.2240974175265</v>
      </c>
      <c r="X6" s="94">
        <f t="shared" ca="1" si="4"/>
        <v>3680.9455589930822</v>
      </c>
      <c r="Y6" s="94">
        <f t="shared" ca="1" si="4"/>
        <v>3683.7214498001495</v>
      </c>
      <c r="Z6" s="94">
        <f t="shared" ca="1" si="4"/>
        <v>3688.4731849722057</v>
      </c>
      <c r="AA6" s="94">
        <f t="shared" ca="1" si="4"/>
        <v>3691.3612217678783</v>
      </c>
    </row>
    <row r="7" spans="2:27" ht="24.9" customHeight="1">
      <c r="B7" s="25">
        <v>1.1000000000000001</v>
      </c>
      <c r="C7" s="25" t="s">
        <v>195</v>
      </c>
      <c r="D7" s="94">
        <f t="shared" ca="1" si="2"/>
        <v>68645.844523506981</v>
      </c>
      <c r="E7" s="94">
        <f>'5政府补贴测算'!G9+'5政府补贴测算'!G10</f>
        <v>0</v>
      </c>
      <c r="F7" s="94">
        <f>'5政府补贴测算'!H9+'5政府补贴测算'!H10</f>
        <v>0</v>
      </c>
      <c r="G7" s="94">
        <f>'5政府补贴测算'!I9+'5政府补贴测算'!I10</f>
        <v>0</v>
      </c>
      <c r="H7" s="94">
        <f ca="1">'5政府补贴测算'!J9+'5政府补贴测算'!J10</f>
        <v>3411.7318901094068</v>
      </c>
      <c r="I7" s="94">
        <f ca="1">'5政府补贴测算'!K9+'5政府补贴测算'!K10</f>
        <v>3413.6456501094067</v>
      </c>
      <c r="J7" s="94">
        <f ca="1">'5政府补贴测算'!L9+'5政府补贴测算'!L10</f>
        <v>3415.5976853094066</v>
      </c>
      <c r="K7" s="94">
        <f ca="1">'5政府补贴测算'!M9+'5政府补贴测算'!M10</f>
        <v>3417.5887612134065</v>
      </c>
      <c r="L7" s="94">
        <f ca="1">'5政府补贴测算'!N9+'5政府补贴测算'!N10</f>
        <v>3419.6196586354863</v>
      </c>
      <c r="M7" s="94">
        <f ca="1">'5政府补贴测算'!O9+'5政府补贴测算'!O10</f>
        <v>3421.6911740060077</v>
      </c>
      <c r="N7" s="94">
        <f ca="1">'5政府补贴测算'!P9+'5政府补贴测算'!P10</f>
        <v>3423.8041196839404</v>
      </c>
      <c r="O7" s="94">
        <f ca="1">'5政府补贴测算'!Q9+'5政府补贴测算'!Q10</f>
        <v>3425.9593242754308</v>
      </c>
      <c r="P7" s="94">
        <f ca="1">'5政府补贴测算'!R9+'5政府补贴测算'!R10</f>
        <v>3428.1576329587515</v>
      </c>
      <c r="Q7" s="94">
        <f ca="1">'5政府补贴测算'!G15+'5政府补贴测算'!G16</f>
        <v>3430.3999078157385</v>
      </c>
      <c r="R7" s="94">
        <f ca="1">'5政府补贴测算'!H15+'5政府补贴测算'!H16</f>
        <v>3432.6870281698648</v>
      </c>
      <c r="S7" s="94">
        <f ca="1">'5政府补贴测算'!I15+'5政府补贴测算'!I16</f>
        <v>3435.0198909310748</v>
      </c>
      <c r="T7" s="94">
        <f ca="1">'5政府补贴测算'!J15+'5政府补贴测算'!J16</f>
        <v>3437.3994109475075</v>
      </c>
      <c r="U7" s="94">
        <f ca="1">'5政府补贴测算'!K15+'5政府补贴测算'!K16</f>
        <v>3439.8265213642694</v>
      </c>
      <c r="V7" s="94">
        <f ca="1">'5政府补贴测算'!L15+'5政府补贴测算'!L16</f>
        <v>3442.3021739893666</v>
      </c>
      <c r="W7" s="94">
        <f ca="1">'5政府补贴测算'!M15+'5政府补贴测算'!M16</f>
        <v>3444.8273396669661</v>
      </c>
      <c r="X7" s="94">
        <f ca="1">'5政府补贴测算'!N15+'5政府补贴测算'!N16</f>
        <v>3447.403008658117</v>
      </c>
      <c r="Y7" s="94">
        <f ca="1">'5政府补贴测算'!O15+'5政府补贴测算'!O16</f>
        <v>3450.0301910290914</v>
      </c>
      <c r="Z7" s="94">
        <f ca="1">'5政府补贴测算'!P15+'5政府补贴测算'!P16</f>
        <v>3452.7099170474849</v>
      </c>
      <c r="AA7" s="94">
        <f ca="1">'5政府补贴测算'!Q15+'5政府补贴测算'!Q16</f>
        <v>3455.4432375862466</v>
      </c>
    </row>
    <row r="8" spans="2:27" ht="24.9" customHeight="1">
      <c r="B8" s="25">
        <v>1.2</v>
      </c>
      <c r="C8" s="25" t="s">
        <v>196</v>
      </c>
      <c r="D8" s="94">
        <f t="shared" ca="1" si="2"/>
        <v>4580.3276885295209</v>
      </c>
      <c r="E8" s="94">
        <f>'8税金及附加'!F6</f>
        <v>0</v>
      </c>
      <c r="F8" s="94">
        <f>'8税金及附加'!G6</f>
        <v>0</v>
      </c>
      <c r="G8" s="94">
        <f>'8税金及附加'!H6</f>
        <v>0</v>
      </c>
      <c r="H8" s="94">
        <f ca="1">'8税金及附加'!I6</f>
        <v>223.20942142388367</v>
      </c>
      <c r="I8" s="94">
        <f ca="1">'8税金及附加'!J6</f>
        <v>223.31774746161952</v>
      </c>
      <c r="J8" s="94">
        <f ca="1">'8税金及附加'!K6</f>
        <v>223.42824002011008</v>
      </c>
      <c r="K8" s="94">
        <f ca="1">'8税金及附加'!L6</f>
        <v>225.04556852895689</v>
      </c>
      <c r="L8" s="94">
        <f ca="1">'8税金及附加'!M6</f>
        <v>225.16052498681046</v>
      </c>
      <c r="M8" s="94">
        <f ca="1">'8税金及附加'!N6</f>
        <v>225.2777805738211</v>
      </c>
      <c r="N8" s="94">
        <f ca="1">'8税金及附加'!O6</f>
        <v>226.97723867671777</v>
      </c>
      <c r="O8" s="94">
        <f ca="1">'8税金及附加'!P6</f>
        <v>227.09923138944362</v>
      </c>
      <c r="P8" s="94">
        <f ca="1">'8税金及附加'!Q6</f>
        <v>227.22366395642405</v>
      </c>
      <c r="Q8" s="94">
        <f ca="1">'8税金及附加'!R6</f>
        <v>229.00943544909708</v>
      </c>
      <c r="R8" s="94">
        <f ca="1">'8税金及附加'!S6</f>
        <v>229.13889509178347</v>
      </c>
      <c r="S8" s="94">
        <f ca="1">'8税金及附加'!T6</f>
        <v>229.27094392732369</v>
      </c>
      <c r="T8" s="94">
        <f ca="1">'8税金及附加'!U6</f>
        <v>231.14742652764528</v>
      </c>
      <c r="U8" s="94">
        <f ca="1">'8税金及附加'!V6</f>
        <v>231.28481013614123</v>
      </c>
      <c r="V8" s="94">
        <f ca="1">'8税金及附加'!W6</f>
        <v>231.42494141680712</v>
      </c>
      <c r="W8" s="94">
        <f ca="1">'8税金及附加'!X6</f>
        <v>233.39675775056054</v>
      </c>
      <c r="X8" s="94">
        <f ca="1">'8税金及附加'!Y6</f>
        <v>233.54255033496531</v>
      </c>
      <c r="Y8" s="94">
        <f ca="1">'8税金及附加'!Z6</f>
        <v>233.69125877105822</v>
      </c>
      <c r="Z8" s="94">
        <f ca="1">'8税金及附加'!AA6</f>
        <v>235.76326792472088</v>
      </c>
      <c r="AA8" s="94">
        <f ca="1">'8税金及附加'!AB6</f>
        <v>235.91798418163191</v>
      </c>
    </row>
    <row r="9" spans="2:27" ht="24.9" customHeight="1">
      <c r="B9" s="25">
        <v>1.3</v>
      </c>
      <c r="C9" s="25" t="s">
        <v>197</v>
      </c>
      <c r="D9" s="94"/>
      <c r="E9" s="94"/>
      <c r="F9" s="94"/>
      <c r="G9" s="94"/>
      <c r="H9" s="94"/>
      <c r="I9" s="94"/>
      <c r="J9" s="94"/>
      <c r="K9" s="94"/>
      <c r="L9" s="94"/>
      <c r="M9" s="94"/>
      <c r="N9" s="94"/>
      <c r="O9" s="94"/>
      <c r="P9" s="94"/>
      <c r="Q9" s="94"/>
      <c r="R9" s="94"/>
      <c r="S9" s="94"/>
      <c r="T9" s="94"/>
      <c r="U9" s="94"/>
      <c r="V9" s="94"/>
      <c r="W9" s="94"/>
      <c r="X9" s="94"/>
      <c r="Y9" s="94"/>
      <c r="Z9" s="94"/>
      <c r="AA9" s="94"/>
    </row>
    <row r="10" spans="2:27" ht="24.9" customHeight="1">
      <c r="B10" s="25">
        <v>2</v>
      </c>
      <c r="C10" s="25" t="s">
        <v>198</v>
      </c>
      <c r="D10" s="94">
        <f t="shared" ca="1" si="2"/>
        <v>3328.3474487360581</v>
      </c>
      <c r="E10" s="94">
        <f>E11+E12+E13</f>
        <v>1591.2380167248518</v>
      </c>
      <c r="F10" s="94">
        <f t="shared" ref="F10:V10" si="5">F11+F12+F13</f>
        <v>1678.5732839977263</v>
      </c>
      <c r="G10" s="94">
        <f t="shared" si="5"/>
        <v>1678.5732839977263</v>
      </c>
      <c r="H10" s="94">
        <f t="shared" ca="1" si="5"/>
        <v>101.10430188679244</v>
      </c>
      <c r="I10" s="94">
        <f t="shared" ca="1" si="5"/>
        <v>106.5381198146377</v>
      </c>
      <c r="J10" s="94">
        <f t="shared" ca="1" si="5"/>
        <v>108.60256133312825</v>
      </c>
      <c r="K10" s="94">
        <f t="shared" ca="1" si="5"/>
        <v>110.70829168198863</v>
      </c>
      <c r="L10" s="94">
        <f t="shared" ca="1" si="5"/>
        <v>112.85613663782622</v>
      </c>
      <c r="M10" s="94">
        <f t="shared" ca="1" si="5"/>
        <v>115.04693849278055</v>
      </c>
      <c r="N10" s="94">
        <f t="shared" ca="1" si="5"/>
        <v>117.28155638483398</v>
      </c>
      <c r="O10" s="94">
        <f t="shared" ca="1" si="5"/>
        <v>119.56086663472847</v>
      </c>
      <c r="P10" s="94">
        <f t="shared" ca="1" si="5"/>
        <v>121.88576308962085</v>
      </c>
      <c r="Q10" s="94">
        <f t="shared" ca="1" si="5"/>
        <v>-2920.2494701166302</v>
      </c>
      <c r="R10" s="94">
        <f t="shared" ca="1" si="5"/>
        <v>-350.5841061635673</v>
      </c>
      <c r="S10" s="94">
        <f t="shared" ca="1" si="5"/>
        <v>-310.77338877893089</v>
      </c>
      <c r="T10" s="94">
        <f t="shared" ca="1" si="5"/>
        <v>-269.26498680559496</v>
      </c>
      <c r="U10" s="94">
        <f t="shared" ca="1" si="5"/>
        <v>19.392547107135329</v>
      </c>
      <c r="V10" s="94">
        <f t="shared" ca="1" si="5"/>
        <v>65.960958899409135</v>
      </c>
      <c r="W10" s="94">
        <f t="shared" ref="W10:AA10" ca="1" si="6">W11+W12+W13</f>
        <v>116.57043907702902</v>
      </c>
      <c r="X10" s="94">
        <f t="shared" ca="1" si="6"/>
        <v>168.2863591959651</v>
      </c>
      <c r="Y10" s="94">
        <f t="shared" ca="1" si="6"/>
        <v>222.79053153243467</v>
      </c>
      <c r="Z10" s="94">
        <f t="shared" ca="1" si="6"/>
        <v>281.84966493870598</v>
      </c>
      <c r="AA10" s="94">
        <f t="shared" ca="1" si="6"/>
        <v>342.39977917345993</v>
      </c>
    </row>
    <row r="11" spans="2:27" ht="24.9" customHeight="1">
      <c r="B11" s="25">
        <v>2.1</v>
      </c>
      <c r="C11" s="25" t="s">
        <v>199</v>
      </c>
      <c r="D11" s="94">
        <f t="shared" si="2"/>
        <v>2324.9667213188382</v>
      </c>
      <c r="E11" s="94">
        <f>'5政府补贴测算'!G8</f>
        <v>0</v>
      </c>
      <c r="F11" s="94">
        <f>'5政府补贴测算'!H8</f>
        <v>0</v>
      </c>
      <c r="G11" s="94">
        <f>'5政府补贴测算'!I8</f>
        <v>0</v>
      </c>
      <c r="H11" s="94">
        <f>'5政府补贴测算'!J8</f>
        <v>95.687999999999988</v>
      </c>
      <c r="I11" s="94">
        <f>'5政府补贴测算'!K8</f>
        <v>97.601759999999985</v>
      </c>
      <c r="J11" s="94">
        <f>'5政府补贴测算'!L8</f>
        <v>99.553795199999982</v>
      </c>
      <c r="K11" s="94">
        <f>'5政府补贴测算'!M8</f>
        <v>101.54487110399998</v>
      </c>
      <c r="L11" s="94">
        <f>'5政府补贴测算'!N8</f>
        <v>103.57576852607998</v>
      </c>
      <c r="M11" s="94">
        <f>'5政府补贴测算'!O8</f>
        <v>105.64728389660158</v>
      </c>
      <c r="N11" s="94">
        <f>'5政府补贴测算'!P8</f>
        <v>107.76022957453361</v>
      </c>
      <c r="O11" s="94">
        <f>'5政府补贴测算'!Q8</f>
        <v>109.91543416602428</v>
      </c>
      <c r="P11" s="94">
        <f>'5政府补贴测算'!R8</f>
        <v>112.11374284934477</v>
      </c>
      <c r="Q11" s="94">
        <f>'5政府补贴测算'!G14</f>
        <v>114.35601770633167</v>
      </c>
      <c r="R11" s="94">
        <f>'5政府补贴测算'!H14</f>
        <v>116.64313806045831</v>
      </c>
      <c r="S11" s="94">
        <f>'5政府补贴测算'!I14</f>
        <v>118.97600082166748</v>
      </c>
      <c r="T11" s="94">
        <f>'5政府补贴测算'!J14</f>
        <v>121.35552083810083</v>
      </c>
      <c r="U11" s="94">
        <f>'5政府补贴测算'!K14</f>
        <v>123.78263125486285</v>
      </c>
      <c r="V11" s="94">
        <f>'5政府补贴测算'!L14</f>
        <v>126.2582838799601</v>
      </c>
      <c r="W11" s="94">
        <f>'5政府补贴测算'!M14</f>
        <v>128.78344955755929</v>
      </c>
      <c r="X11" s="94">
        <f>'5政府补贴测算'!N14</f>
        <v>131.35911854871048</v>
      </c>
      <c r="Y11" s="94">
        <f>'5政府补贴测算'!O14</f>
        <v>133.98630091968471</v>
      </c>
      <c r="Z11" s="94">
        <f>'5政府补贴测算'!P14</f>
        <v>136.6660269380784</v>
      </c>
      <c r="AA11" s="94">
        <f>'5政府补贴测算'!Q14</f>
        <v>139.39934747683998</v>
      </c>
    </row>
    <row r="12" spans="2:27" ht="24.9" customHeight="1">
      <c r="B12" s="25">
        <v>2.2000000000000002</v>
      </c>
      <c r="C12" s="25" t="s">
        <v>200</v>
      </c>
      <c r="D12" s="94">
        <f t="shared" ca="1" si="2"/>
        <v>1003.3807274172185</v>
      </c>
      <c r="E12" s="207">
        <f>'8税金及附加'!F9+'8税金及附加'!F13+'8税金及附加'!F5+'9利润与利润分配表'!E18</f>
        <v>1591.2380167248518</v>
      </c>
      <c r="F12" s="207">
        <f>'8税金及附加'!G9+'8税金及附加'!G13+'8税金及附加'!G5+'9利润与利润分配表'!F18</f>
        <v>1678.5732839977263</v>
      </c>
      <c r="G12" s="207">
        <f>'8税金及附加'!H9+'8税金及附加'!H13+'8税金及附加'!H5+'9利润与利润分配表'!G18</f>
        <v>1678.5732839977263</v>
      </c>
      <c r="H12" s="94">
        <f ca="1">'8税金及附加'!I9+'8税金及附加'!I13+'8税金及附加'!I5+'9利润与利润分配表'!H18</f>
        <v>5.4163018867924517</v>
      </c>
      <c r="I12" s="94">
        <f ca="1">'8税金及附加'!J9+'8税金及附加'!J13+'8税金及附加'!J5+'9利润与利润分配表'!I18</f>
        <v>8.9363598146377079</v>
      </c>
      <c r="J12" s="94">
        <f ca="1">'8税金及附加'!K9+'8税金及附加'!K13+'8税金及附加'!K5+'9利润与利润分配表'!J18</f>
        <v>9.0487661331282734</v>
      </c>
      <c r="K12" s="94">
        <f ca="1">'8税金及附加'!L9+'8税金及附加'!L13+'8税金及附加'!L5+'9利润与利润分配表'!K18</f>
        <v>9.1634205779886493</v>
      </c>
      <c r="L12" s="94">
        <f ca="1">'8税金及附加'!M9+'8税金及附加'!M13+'8税金及附加'!M5+'9利润与利润分配表'!L18</f>
        <v>9.2803681117462364</v>
      </c>
      <c r="M12" s="94">
        <f ca="1">'8税金及附加'!N9+'8税金及附加'!N13+'8税金及附加'!N5+'9利润与利润分配表'!M18</f>
        <v>9.399654596178971</v>
      </c>
      <c r="N12" s="94">
        <f ca="1">'8税金及附加'!O9+'8税金及附加'!O13+'8税金及附加'!O5+'9利润与利润分配表'!N18</f>
        <v>9.5213268103003621</v>
      </c>
      <c r="O12" s="94">
        <f ca="1">'8税金及附加'!P9+'8税金及附加'!P13+'8税金及附加'!P5+'9利润与利润分配表'!O18</f>
        <v>9.6454324687041826</v>
      </c>
      <c r="P12" s="94">
        <f ca="1">'8税金及附加'!Q9+'8税金及附加'!Q13+'8税金及附加'!Q5+'9利润与利润分配表'!P18</f>
        <v>9.7720202402760776</v>
      </c>
      <c r="Q12" s="94">
        <f ca="1">'8税金及附加'!R9+'8税金及附加'!R13+'8税金及附加'!R5+'9利润与利润分配表'!Q18</f>
        <v>-3034.605487822962</v>
      </c>
      <c r="R12" s="94">
        <f ca="1">'8税金及附加'!S9+'8税金及附加'!S13+'8税金及附加'!S5+'9利润与利润分配表'!R18</f>
        <v>-467.22724422402558</v>
      </c>
      <c r="S12" s="94">
        <f ca="1">'8税金及附加'!T9+'8税金及附加'!T13+'8税金及附加'!T5+'9利润与利润分配表'!S18</f>
        <v>-429.74938960059836</v>
      </c>
      <c r="T12" s="94">
        <f ca="1">'8税金及附加'!U9+'8税金及附加'!U13+'8税金及附加'!U5+'9利润与利润分配表'!T18</f>
        <v>-390.62050764369582</v>
      </c>
      <c r="U12" s="94">
        <f ca="1">'8税金及附加'!V9+'8税金及附加'!V13+'8税金及附加'!V5+'9利润与利润分配表'!U18</f>
        <v>-104.39008414772752</v>
      </c>
      <c r="V12" s="94">
        <f ca="1">'8税金及附加'!W9+'8税金及附加'!W13+'8税金及附加'!W5+'9利润与利润分配表'!V18</f>
        <v>-60.297324980550968</v>
      </c>
      <c r="W12" s="94">
        <f ca="1">'8税金及附加'!X9+'8税金及附加'!X13+'8税金及附加'!X5+'9利润与利润分配表'!W18</f>
        <v>-12.213010480530272</v>
      </c>
      <c r="X12" s="94">
        <f ca="1">'8税金及附加'!Y9+'8税金及附加'!Y13+'8税金及附加'!Y5+'9利润与利润分配表'!X18</f>
        <v>36.927240647254621</v>
      </c>
      <c r="Y12" s="94">
        <f ca="1">'8税金及附加'!Z9+'8税金及附加'!Z13+'8税金及附加'!Z5+'9利润与利润分配表'!Y18</f>
        <v>88.804230612749961</v>
      </c>
      <c r="Z12" s="94">
        <f ca="1">'8税金及附加'!AA9+'8税金及附加'!AA13+'8税金及附加'!AA5+'9利润与利润分配表'!Z18</f>
        <v>145.18363800062758</v>
      </c>
      <c r="AA12" s="94">
        <f ca="1">'8税金及附加'!AB9+'8税金及附加'!AB13+'8税金及附加'!AB5+'9利润与利润分配表'!AA18</f>
        <v>203.00043169661998</v>
      </c>
    </row>
    <row r="13" spans="2:27" ht="24.9" customHeight="1">
      <c r="B13" s="25">
        <v>2.2999999999999998</v>
      </c>
      <c r="C13" s="25" t="s">
        <v>201</v>
      </c>
      <c r="D13" s="94"/>
      <c r="E13" s="94"/>
      <c r="F13" s="94"/>
      <c r="G13" s="94"/>
      <c r="H13" s="94"/>
      <c r="I13" s="94"/>
      <c r="J13" s="94"/>
      <c r="K13" s="94"/>
      <c r="L13" s="94"/>
      <c r="M13" s="94"/>
      <c r="N13" s="94"/>
      <c r="O13" s="94"/>
      <c r="P13" s="94"/>
      <c r="Q13" s="94"/>
      <c r="R13" s="94"/>
      <c r="S13" s="94"/>
      <c r="T13" s="94"/>
      <c r="U13" s="94"/>
      <c r="V13" s="94"/>
      <c r="W13" s="94"/>
      <c r="X13" s="94"/>
      <c r="Y13" s="94"/>
      <c r="Z13" s="94"/>
      <c r="AA13" s="94"/>
    </row>
    <row r="14" spans="2:27" ht="24.9" customHeight="1">
      <c r="B14" s="210" t="s">
        <v>202</v>
      </c>
      <c r="C14" s="210" t="s">
        <v>203</v>
      </c>
      <c r="D14" s="94">
        <f t="shared" ca="1" si="2"/>
        <v>-61372.493217467818</v>
      </c>
      <c r="E14" s="94">
        <f ca="1">E15-E18</f>
        <v>-23704.247137035207</v>
      </c>
      <c r="F14" s="94">
        <f t="shared" ref="F14:V14" ca="1" si="7">F15-F18</f>
        <v>-18413.827824154312</v>
      </c>
      <c r="G14" s="94">
        <f t="shared" ca="1" si="7"/>
        <v>-19254.418256278303</v>
      </c>
      <c r="H14" s="94">
        <f t="shared" si="7"/>
        <v>0</v>
      </c>
      <c r="I14" s="94">
        <f t="shared" si="7"/>
        <v>0</v>
      </c>
      <c r="J14" s="94">
        <f t="shared" si="7"/>
        <v>0</v>
      </c>
      <c r="K14" s="94">
        <f t="shared" si="7"/>
        <v>0</v>
      </c>
      <c r="L14" s="94">
        <f t="shared" si="7"/>
        <v>0</v>
      </c>
      <c r="M14" s="94">
        <f t="shared" si="7"/>
        <v>0</v>
      </c>
      <c r="N14" s="94">
        <f t="shared" si="7"/>
        <v>0</v>
      </c>
      <c r="O14" s="94">
        <f t="shared" si="7"/>
        <v>0</v>
      </c>
      <c r="P14" s="94">
        <f t="shared" si="7"/>
        <v>0</v>
      </c>
      <c r="Q14" s="94">
        <f t="shared" si="7"/>
        <v>0</v>
      </c>
      <c r="R14" s="94">
        <f t="shared" si="7"/>
        <v>0</v>
      </c>
      <c r="S14" s="94">
        <f t="shared" si="7"/>
        <v>0</v>
      </c>
      <c r="T14" s="94">
        <f t="shared" si="7"/>
        <v>0</v>
      </c>
      <c r="U14" s="94">
        <f t="shared" si="7"/>
        <v>0</v>
      </c>
      <c r="V14" s="94">
        <f t="shared" si="7"/>
        <v>0</v>
      </c>
      <c r="W14" s="94">
        <f t="shared" ref="W14:AA14" si="8">W15-W18</f>
        <v>0</v>
      </c>
      <c r="X14" s="94">
        <f t="shared" si="8"/>
        <v>0</v>
      </c>
      <c r="Y14" s="94">
        <f t="shared" si="8"/>
        <v>0</v>
      </c>
      <c r="Z14" s="94">
        <f t="shared" si="8"/>
        <v>0</v>
      </c>
      <c r="AA14" s="94">
        <f t="shared" si="8"/>
        <v>0</v>
      </c>
    </row>
    <row r="15" spans="2:27" ht="24.9" customHeight="1">
      <c r="B15" s="25">
        <v>1</v>
      </c>
      <c r="C15" s="25" t="s">
        <v>194</v>
      </c>
      <c r="D15" s="94">
        <f t="shared" si="2"/>
        <v>0</v>
      </c>
      <c r="E15" s="94">
        <f>E16+E17</f>
        <v>0</v>
      </c>
      <c r="F15" s="94">
        <f t="shared" ref="F15:V15" si="9">F16+F17</f>
        <v>0</v>
      </c>
      <c r="G15" s="94">
        <f t="shared" si="9"/>
        <v>0</v>
      </c>
      <c r="H15" s="94">
        <f t="shared" si="9"/>
        <v>0</v>
      </c>
      <c r="I15" s="94">
        <f t="shared" si="9"/>
        <v>0</v>
      </c>
      <c r="J15" s="94">
        <f t="shared" si="9"/>
        <v>0</v>
      </c>
      <c r="K15" s="94">
        <f t="shared" si="9"/>
        <v>0</v>
      </c>
      <c r="L15" s="94">
        <f t="shared" si="9"/>
        <v>0</v>
      </c>
      <c r="M15" s="94">
        <f t="shared" si="9"/>
        <v>0</v>
      </c>
      <c r="N15" s="94">
        <f t="shared" si="9"/>
        <v>0</v>
      </c>
      <c r="O15" s="94">
        <f t="shared" si="9"/>
        <v>0</v>
      </c>
      <c r="P15" s="94">
        <f t="shared" si="9"/>
        <v>0</v>
      </c>
      <c r="Q15" s="94">
        <f t="shared" si="9"/>
        <v>0</v>
      </c>
      <c r="R15" s="94">
        <f t="shared" si="9"/>
        <v>0</v>
      </c>
      <c r="S15" s="94">
        <f t="shared" si="9"/>
        <v>0</v>
      </c>
      <c r="T15" s="94">
        <f t="shared" si="9"/>
        <v>0</v>
      </c>
      <c r="U15" s="94">
        <f t="shared" si="9"/>
        <v>0</v>
      </c>
      <c r="V15" s="94">
        <f t="shared" si="9"/>
        <v>0</v>
      </c>
      <c r="W15" s="94">
        <f t="shared" ref="W15:AA15" si="10">W16+W17</f>
        <v>0</v>
      </c>
      <c r="X15" s="94">
        <f t="shared" si="10"/>
        <v>0</v>
      </c>
      <c r="Y15" s="94">
        <f t="shared" si="10"/>
        <v>0</v>
      </c>
      <c r="Z15" s="94">
        <f t="shared" si="10"/>
        <v>0</v>
      </c>
      <c r="AA15" s="94">
        <f t="shared" si="10"/>
        <v>0</v>
      </c>
    </row>
    <row r="16" spans="2:27" ht="24.9" customHeight="1">
      <c r="B16" s="25">
        <v>1.1000000000000001</v>
      </c>
      <c r="C16" s="25" t="s">
        <v>204</v>
      </c>
      <c r="D16" s="94"/>
      <c r="E16" s="94"/>
      <c r="F16" s="94"/>
      <c r="G16" s="94"/>
      <c r="H16" s="94"/>
      <c r="I16" s="94"/>
      <c r="J16" s="94"/>
      <c r="K16" s="94"/>
      <c r="L16" s="94"/>
      <c r="M16" s="94"/>
      <c r="N16" s="94"/>
      <c r="O16" s="94"/>
      <c r="P16" s="94"/>
      <c r="Q16" s="94"/>
      <c r="R16" s="94"/>
      <c r="S16" s="94"/>
      <c r="T16" s="94"/>
      <c r="U16" s="94"/>
      <c r="V16" s="94"/>
      <c r="W16" s="94"/>
      <c r="X16" s="94"/>
      <c r="Y16" s="94"/>
      <c r="Z16" s="94"/>
      <c r="AA16" s="94"/>
    </row>
    <row r="17" spans="2:27" ht="24.9" customHeight="1">
      <c r="B17" s="25">
        <v>1.2</v>
      </c>
      <c r="C17" s="25" t="s">
        <v>205</v>
      </c>
      <c r="D17" s="94"/>
      <c r="E17" s="94"/>
      <c r="F17" s="94"/>
      <c r="G17" s="94"/>
      <c r="H17" s="94"/>
      <c r="I17" s="94"/>
      <c r="J17" s="94"/>
      <c r="K17" s="94"/>
      <c r="L17" s="94"/>
      <c r="M17" s="94"/>
      <c r="N17" s="94"/>
      <c r="O17" s="94"/>
      <c r="P17" s="94"/>
      <c r="Q17" s="94"/>
      <c r="R17" s="94"/>
      <c r="S17" s="94"/>
      <c r="T17" s="94"/>
      <c r="U17" s="94"/>
      <c r="V17" s="94"/>
      <c r="W17" s="94"/>
      <c r="X17" s="94"/>
      <c r="Y17" s="94"/>
      <c r="Z17" s="94"/>
      <c r="AA17" s="94"/>
    </row>
    <row r="18" spans="2:27" ht="24.9" customHeight="1">
      <c r="B18" s="25">
        <v>2</v>
      </c>
      <c r="C18" s="25" t="s">
        <v>198</v>
      </c>
      <c r="D18" s="94">
        <f t="shared" ca="1" si="2"/>
        <v>61372.493217467818</v>
      </c>
      <c r="E18" s="94">
        <f ca="1">E19+E20+E21+E22</f>
        <v>23704.247137035207</v>
      </c>
      <c r="F18" s="94">
        <f t="shared" ref="F18:V18" ca="1" si="11">F19+F20+F21+F22</f>
        <v>18413.827824154312</v>
      </c>
      <c r="G18" s="94">
        <f t="shared" ca="1" si="11"/>
        <v>19254.418256278303</v>
      </c>
      <c r="H18" s="94">
        <f t="shared" si="11"/>
        <v>0</v>
      </c>
      <c r="I18" s="94">
        <f t="shared" si="11"/>
        <v>0</v>
      </c>
      <c r="J18" s="94">
        <f t="shared" si="11"/>
        <v>0</v>
      </c>
      <c r="K18" s="94">
        <f t="shared" si="11"/>
        <v>0</v>
      </c>
      <c r="L18" s="94">
        <f t="shared" si="11"/>
        <v>0</v>
      </c>
      <c r="M18" s="94">
        <f t="shared" si="11"/>
        <v>0</v>
      </c>
      <c r="N18" s="94">
        <f t="shared" si="11"/>
        <v>0</v>
      </c>
      <c r="O18" s="94">
        <f t="shared" si="11"/>
        <v>0</v>
      </c>
      <c r="P18" s="94">
        <f t="shared" si="11"/>
        <v>0</v>
      </c>
      <c r="Q18" s="94">
        <f t="shared" si="11"/>
        <v>0</v>
      </c>
      <c r="R18" s="94">
        <f t="shared" si="11"/>
        <v>0</v>
      </c>
      <c r="S18" s="94">
        <f t="shared" si="11"/>
        <v>0</v>
      </c>
      <c r="T18" s="94">
        <f t="shared" si="11"/>
        <v>0</v>
      </c>
      <c r="U18" s="94">
        <f t="shared" si="11"/>
        <v>0</v>
      </c>
      <c r="V18" s="94">
        <f t="shared" si="11"/>
        <v>0</v>
      </c>
      <c r="W18" s="94">
        <f t="shared" ref="W18:AA18" si="12">W19+W20+W21+W22</f>
        <v>0</v>
      </c>
      <c r="X18" s="94">
        <f t="shared" si="12"/>
        <v>0</v>
      </c>
      <c r="Y18" s="94">
        <f t="shared" si="12"/>
        <v>0</v>
      </c>
      <c r="Z18" s="94">
        <f t="shared" si="12"/>
        <v>0</v>
      </c>
      <c r="AA18" s="94">
        <f t="shared" si="12"/>
        <v>0</v>
      </c>
    </row>
    <row r="19" spans="2:27" ht="24.9" customHeight="1">
      <c r="B19" s="25">
        <v>2.1</v>
      </c>
      <c r="C19" s="25" t="s">
        <v>206</v>
      </c>
      <c r="D19" s="94">
        <f t="shared" ca="1" si="2"/>
        <v>61372.493217467818</v>
      </c>
      <c r="E19" s="94">
        <f ca="1">'3资产及税金估算表'!E33-'2投资计划表'!E12+'2投资计划表'!E16</f>
        <v>23704.247137035207</v>
      </c>
      <c r="F19" s="94">
        <f ca="1">'3资产及税金估算表'!F33-'2投资计划表'!F12+'2投资计划表'!F16</f>
        <v>18413.827824154312</v>
      </c>
      <c r="G19" s="94">
        <f ca="1">'3资产及税金估算表'!G33-'2投资计划表'!G12+'2投资计划表'!G16</f>
        <v>19254.418256278303</v>
      </c>
      <c r="H19" s="94"/>
      <c r="I19" s="94"/>
      <c r="J19" s="94"/>
      <c r="K19" s="94"/>
      <c r="L19" s="94"/>
      <c r="M19" s="94"/>
      <c r="N19" s="94"/>
      <c r="O19" s="94"/>
      <c r="P19" s="94"/>
      <c r="Q19" s="94"/>
      <c r="R19" s="94"/>
      <c r="S19" s="94"/>
      <c r="T19" s="94"/>
      <c r="U19" s="94"/>
      <c r="V19" s="94"/>
      <c r="W19" s="94"/>
      <c r="X19" s="94"/>
      <c r="Y19" s="94"/>
      <c r="Z19" s="94"/>
      <c r="AA19" s="94"/>
    </row>
    <row r="20" spans="2:27" ht="24.9" customHeight="1">
      <c r="B20" s="25">
        <v>2.2000000000000002</v>
      </c>
      <c r="C20" s="25" t="s">
        <v>207</v>
      </c>
      <c r="D20" s="94"/>
      <c r="E20" s="94"/>
      <c r="F20" s="94"/>
      <c r="G20" s="94"/>
      <c r="H20" s="94"/>
      <c r="I20" s="94"/>
      <c r="J20" s="94"/>
      <c r="K20" s="94"/>
      <c r="L20" s="94"/>
      <c r="M20" s="94"/>
      <c r="N20" s="94"/>
      <c r="O20" s="94"/>
      <c r="P20" s="94"/>
      <c r="Q20" s="94"/>
      <c r="R20" s="94"/>
      <c r="S20" s="94"/>
      <c r="T20" s="94"/>
      <c r="U20" s="94"/>
      <c r="V20" s="94"/>
      <c r="W20" s="94"/>
      <c r="X20" s="94"/>
      <c r="Y20" s="94"/>
      <c r="Z20" s="94"/>
      <c r="AA20" s="94"/>
    </row>
    <row r="21" spans="2:27" ht="24.9" customHeight="1">
      <c r="B21" s="25">
        <v>2.2999999999999998</v>
      </c>
      <c r="C21" s="25" t="s">
        <v>162</v>
      </c>
      <c r="D21" s="94"/>
      <c r="E21" s="94"/>
      <c r="F21" s="94"/>
      <c r="G21" s="94"/>
      <c r="H21" s="94"/>
      <c r="I21" s="94"/>
      <c r="J21" s="94"/>
      <c r="K21" s="94"/>
      <c r="L21" s="94"/>
      <c r="M21" s="94"/>
      <c r="N21" s="94"/>
      <c r="O21" s="94"/>
      <c r="P21" s="94"/>
      <c r="Q21" s="94"/>
      <c r="R21" s="94"/>
      <c r="S21" s="94"/>
      <c r="T21" s="94"/>
      <c r="U21" s="94"/>
      <c r="V21" s="94"/>
      <c r="W21" s="94"/>
      <c r="X21" s="94"/>
      <c r="Y21" s="94"/>
      <c r="Z21" s="94"/>
      <c r="AA21" s="94"/>
    </row>
    <row r="22" spans="2:27" ht="24.9" customHeight="1">
      <c r="B22" s="25">
        <v>2.4</v>
      </c>
      <c r="C22" s="25" t="s">
        <v>208</v>
      </c>
      <c r="D22" s="94"/>
      <c r="E22" s="94"/>
      <c r="F22" s="94"/>
      <c r="G22" s="94"/>
      <c r="H22" s="94"/>
      <c r="I22" s="94"/>
      <c r="J22" s="94"/>
      <c r="K22" s="94"/>
      <c r="L22" s="94"/>
      <c r="M22" s="94"/>
      <c r="N22" s="94"/>
      <c r="O22" s="94"/>
      <c r="P22" s="94"/>
      <c r="Q22" s="94"/>
      <c r="R22" s="94"/>
      <c r="S22" s="94"/>
      <c r="T22" s="94"/>
      <c r="U22" s="94"/>
      <c r="V22" s="94"/>
      <c r="W22" s="94"/>
      <c r="X22" s="94"/>
      <c r="Y22" s="94"/>
      <c r="Z22" s="94"/>
      <c r="AA22" s="94"/>
    </row>
    <row r="23" spans="2:27" ht="24.9" customHeight="1">
      <c r="B23" s="210" t="s">
        <v>187</v>
      </c>
      <c r="C23" s="210" t="s">
        <v>209</v>
      </c>
      <c r="D23" s="94">
        <f t="shared" ca="1" si="2"/>
        <v>-25828.891211033533</v>
      </c>
      <c r="E23" s="94">
        <f ca="1">E24-E29</f>
        <v>25295.485153760066</v>
      </c>
      <c r="F23" s="94">
        <f t="shared" ref="F23:V23" ca="1" si="13">F24-F29</f>
        <v>20092.40110815204</v>
      </c>
      <c r="G23" s="94">
        <f t="shared" ca="1" si="13"/>
        <v>20932.991540276031</v>
      </c>
      <c r="H23" s="94">
        <f t="shared" ca="1" si="13"/>
        <v>-4607.4884506610824</v>
      </c>
      <c r="I23" s="94">
        <f t="shared" ca="1" si="13"/>
        <v>-4607.4884506610824</v>
      </c>
      <c r="J23" s="94">
        <f t="shared" ca="1" si="13"/>
        <v>-4607.4884506610824</v>
      </c>
      <c r="K23" s="94">
        <f t="shared" ca="1" si="13"/>
        <v>-4607.4884506610824</v>
      </c>
      <c r="L23" s="94">
        <f t="shared" ca="1" si="13"/>
        <v>-4607.4884506610824</v>
      </c>
      <c r="M23" s="94">
        <f t="shared" ca="1" si="13"/>
        <v>-4607.4884506610824</v>
      </c>
      <c r="N23" s="94">
        <f t="shared" ca="1" si="13"/>
        <v>-4607.4884506610824</v>
      </c>
      <c r="O23" s="94">
        <f t="shared" ca="1" si="13"/>
        <v>-4607.4884506610824</v>
      </c>
      <c r="P23" s="94">
        <f t="shared" ca="1" si="13"/>
        <v>-4607.4884506610824</v>
      </c>
      <c r="Q23" s="94">
        <f t="shared" ca="1" si="13"/>
        <v>-4607.4884506610824</v>
      </c>
      <c r="R23" s="94">
        <f t="shared" ca="1" si="13"/>
        <v>-4607.4884506610824</v>
      </c>
      <c r="S23" s="94">
        <f t="shared" ca="1" si="13"/>
        <v>-4607.4884506610824</v>
      </c>
      <c r="T23" s="94">
        <f t="shared" ca="1" si="13"/>
        <v>-4607.4884506610824</v>
      </c>
      <c r="U23" s="94">
        <f t="shared" ca="1" si="13"/>
        <v>-4607.4884506610824</v>
      </c>
      <c r="V23" s="94">
        <f t="shared" ca="1" si="13"/>
        <v>-4607.4884506610824</v>
      </c>
      <c r="W23" s="94">
        <f t="shared" ref="W23:AA23" ca="1" si="14">W24-W29</f>
        <v>-4607.4884506610824</v>
      </c>
      <c r="X23" s="94">
        <f t="shared" ca="1" si="14"/>
        <v>-4607.4884506610824</v>
      </c>
      <c r="Y23" s="94">
        <f t="shared" ca="1" si="14"/>
        <v>-4607.4884506610824</v>
      </c>
      <c r="Z23" s="94">
        <f t="shared" ca="1" si="14"/>
        <v>-4607.4884506610824</v>
      </c>
      <c r="AA23" s="94">
        <f t="shared" ca="1" si="14"/>
        <v>-4607.4884506610833</v>
      </c>
    </row>
    <row r="24" spans="2:27" ht="24.9" customHeight="1">
      <c r="B24" s="25">
        <v>1</v>
      </c>
      <c r="C24" s="25" t="s">
        <v>194</v>
      </c>
      <c r="D24" s="94">
        <f t="shared" ca="1" si="2"/>
        <v>66320.87780218813</v>
      </c>
      <c r="E24" s="94">
        <f ca="1">E25+E26+E27+E28</f>
        <v>25295.485153760066</v>
      </c>
      <c r="F24" s="94">
        <f t="shared" ref="F24:V24" ca="1" si="15">F25+F26+F27+F28</f>
        <v>20092.40110815204</v>
      </c>
      <c r="G24" s="94">
        <f t="shared" ca="1" si="15"/>
        <v>20932.991540276031</v>
      </c>
      <c r="H24" s="94">
        <f t="shared" si="15"/>
        <v>0</v>
      </c>
      <c r="I24" s="94">
        <f t="shared" si="15"/>
        <v>0</v>
      </c>
      <c r="J24" s="94">
        <f t="shared" si="15"/>
        <v>0</v>
      </c>
      <c r="K24" s="94">
        <f t="shared" si="15"/>
        <v>0</v>
      </c>
      <c r="L24" s="94">
        <f t="shared" si="15"/>
        <v>0</v>
      </c>
      <c r="M24" s="94">
        <f t="shared" si="15"/>
        <v>0</v>
      </c>
      <c r="N24" s="94">
        <f t="shared" si="15"/>
        <v>0</v>
      </c>
      <c r="O24" s="94">
        <f t="shared" si="15"/>
        <v>0</v>
      </c>
      <c r="P24" s="94">
        <f t="shared" si="15"/>
        <v>0</v>
      </c>
      <c r="Q24" s="94">
        <f t="shared" si="15"/>
        <v>0</v>
      </c>
      <c r="R24" s="94">
        <f t="shared" si="15"/>
        <v>0</v>
      </c>
      <c r="S24" s="94">
        <f t="shared" si="15"/>
        <v>0</v>
      </c>
      <c r="T24" s="94">
        <f t="shared" si="15"/>
        <v>0</v>
      </c>
      <c r="U24" s="94">
        <f t="shared" si="15"/>
        <v>0</v>
      </c>
      <c r="V24" s="94">
        <f t="shared" si="15"/>
        <v>0</v>
      </c>
      <c r="W24" s="94">
        <f t="shared" ref="W24:AA24" si="16">W25+W26+W27+W28</f>
        <v>0</v>
      </c>
      <c r="X24" s="94">
        <f t="shared" si="16"/>
        <v>0</v>
      </c>
      <c r="Y24" s="94">
        <f t="shared" si="16"/>
        <v>0</v>
      </c>
      <c r="Z24" s="94">
        <f t="shared" si="16"/>
        <v>0</v>
      </c>
      <c r="AA24" s="94">
        <f t="shared" si="16"/>
        <v>0</v>
      </c>
    </row>
    <row r="25" spans="2:27" ht="24.9" customHeight="1">
      <c r="B25" s="25">
        <v>1.1000000000000001</v>
      </c>
      <c r="C25" s="25" t="s">
        <v>210</v>
      </c>
      <c r="D25" s="94">
        <f t="shared" ca="1" si="2"/>
        <v>11623.246625125757</v>
      </c>
      <c r="E25" s="94">
        <f ca="1">'2投资计划表'!E13</f>
        <v>4649.298650050303</v>
      </c>
      <c r="F25" s="94">
        <f ca="1">'2投资计划表'!F13</f>
        <v>3486.9739875377268</v>
      </c>
      <c r="G25" s="94">
        <f ca="1">'2投资计划表'!G13</f>
        <v>3486.9739875377268</v>
      </c>
      <c r="H25" s="94"/>
      <c r="I25" s="94"/>
      <c r="J25" s="94"/>
      <c r="K25" s="94"/>
      <c r="L25" s="94"/>
      <c r="M25" s="94"/>
      <c r="N25" s="94"/>
      <c r="O25" s="94"/>
      <c r="P25" s="94"/>
      <c r="Q25" s="94"/>
      <c r="R25" s="94"/>
      <c r="S25" s="94"/>
      <c r="T25" s="94"/>
      <c r="U25" s="94"/>
      <c r="V25" s="94"/>
      <c r="W25" s="94"/>
      <c r="X25" s="94"/>
      <c r="Y25" s="94"/>
      <c r="Z25" s="94"/>
      <c r="AA25" s="94"/>
    </row>
    <row r="26" spans="2:27" ht="24.9" customHeight="1">
      <c r="B26" s="25">
        <v>1.2</v>
      </c>
      <c r="C26" s="25" t="s">
        <v>211</v>
      </c>
      <c r="D26" s="94"/>
      <c r="E26" s="94"/>
      <c r="F26" s="94"/>
      <c r="G26" s="94"/>
      <c r="H26" s="94"/>
      <c r="I26" s="94"/>
      <c r="J26" s="94"/>
      <c r="K26" s="94"/>
      <c r="L26" s="94"/>
      <c r="M26" s="94"/>
      <c r="N26" s="94"/>
      <c r="O26" s="94"/>
      <c r="P26" s="94"/>
      <c r="Q26" s="94"/>
      <c r="R26" s="94"/>
      <c r="S26" s="94"/>
      <c r="T26" s="94"/>
      <c r="U26" s="94"/>
      <c r="V26" s="94"/>
      <c r="W26" s="94"/>
      <c r="X26" s="94"/>
      <c r="Y26" s="94"/>
      <c r="Z26" s="94"/>
      <c r="AA26" s="94"/>
    </row>
    <row r="27" spans="2:27" ht="24.9" customHeight="1">
      <c r="B27" s="25">
        <v>1.3</v>
      </c>
      <c r="C27" s="25" t="s">
        <v>212</v>
      </c>
      <c r="D27" s="94">
        <f t="shared" ca="1" si="2"/>
        <v>54697.63117706238</v>
      </c>
      <c r="E27" s="94">
        <f ca="1">'2投资计划表'!E14</f>
        <v>20646.186503709763</v>
      </c>
      <c r="F27" s="94">
        <f ca="1">'2投资计划表'!F14</f>
        <v>16605.427120614313</v>
      </c>
      <c r="G27" s="94">
        <f ca="1">'2投资计划表'!G14</f>
        <v>17446.017552738303</v>
      </c>
      <c r="H27" s="94"/>
      <c r="I27" s="94"/>
      <c r="J27" s="94"/>
      <c r="K27" s="94"/>
      <c r="L27" s="94"/>
      <c r="M27" s="94"/>
      <c r="N27" s="94"/>
      <c r="O27" s="94"/>
      <c r="P27" s="94"/>
      <c r="Q27" s="94"/>
      <c r="R27" s="94"/>
      <c r="S27" s="94"/>
      <c r="T27" s="94"/>
      <c r="U27" s="94"/>
      <c r="V27" s="94"/>
      <c r="W27" s="94"/>
      <c r="X27" s="94"/>
      <c r="Y27" s="94"/>
      <c r="Z27" s="94"/>
      <c r="AA27" s="94"/>
    </row>
    <row r="28" spans="2:27" ht="24.9" customHeight="1">
      <c r="B28" s="25">
        <v>1.4</v>
      </c>
      <c r="C28" s="25" t="s">
        <v>213</v>
      </c>
      <c r="D28" s="94"/>
      <c r="E28" s="94"/>
      <c r="F28" s="94"/>
      <c r="G28" s="94"/>
      <c r="H28" s="94"/>
      <c r="I28" s="94"/>
      <c r="J28" s="94"/>
      <c r="K28" s="94"/>
      <c r="L28" s="94"/>
      <c r="M28" s="94"/>
      <c r="N28" s="94"/>
      <c r="O28" s="94"/>
      <c r="P28" s="94"/>
      <c r="Q28" s="94"/>
      <c r="R28" s="94"/>
      <c r="S28" s="94"/>
      <c r="T28" s="94"/>
      <c r="U28" s="94"/>
      <c r="V28" s="94"/>
      <c r="W28" s="94"/>
      <c r="X28" s="94"/>
      <c r="Y28" s="94"/>
      <c r="Z28" s="94"/>
      <c r="AA28" s="94"/>
    </row>
    <row r="29" spans="2:27" ht="24.9" customHeight="1">
      <c r="B29" s="25">
        <v>2</v>
      </c>
      <c r="C29" s="25" t="s">
        <v>198</v>
      </c>
      <c r="D29" s="94">
        <f t="shared" ca="1" si="2"/>
        <v>92149.769013221652</v>
      </c>
      <c r="E29" s="94">
        <f>E30+E31+E32+E33</f>
        <v>0</v>
      </c>
      <c r="F29" s="94">
        <f t="shared" ref="F29:V29" si="17">F30+F31+F32+F33</f>
        <v>0</v>
      </c>
      <c r="G29" s="94">
        <f t="shared" si="17"/>
        <v>0</v>
      </c>
      <c r="H29" s="94">
        <f t="shared" ca="1" si="17"/>
        <v>4607.4884506610824</v>
      </c>
      <c r="I29" s="94">
        <f t="shared" ca="1" si="17"/>
        <v>4607.4884506610824</v>
      </c>
      <c r="J29" s="94">
        <f t="shared" ca="1" si="17"/>
        <v>4607.4884506610824</v>
      </c>
      <c r="K29" s="94">
        <f t="shared" ca="1" si="17"/>
        <v>4607.4884506610824</v>
      </c>
      <c r="L29" s="94">
        <f t="shared" ca="1" si="17"/>
        <v>4607.4884506610824</v>
      </c>
      <c r="M29" s="94">
        <f t="shared" ca="1" si="17"/>
        <v>4607.4884506610824</v>
      </c>
      <c r="N29" s="94">
        <f t="shared" ca="1" si="17"/>
        <v>4607.4884506610824</v>
      </c>
      <c r="O29" s="94">
        <f t="shared" ca="1" si="17"/>
        <v>4607.4884506610824</v>
      </c>
      <c r="P29" s="94">
        <f t="shared" ca="1" si="17"/>
        <v>4607.4884506610824</v>
      </c>
      <c r="Q29" s="94">
        <f t="shared" ca="1" si="17"/>
        <v>4607.4884506610824</v>
      </c>
      <c r="R29" s="94">
        <f t="shared" ca="1" si="17"/>
        <v>4607.4884506610824</v>
      </c>
      <c r="S29" s="94">
        <f t="shared" ca="1" si="17"/>
        <v>4607.4884506610824</v>
      </c>
      <c r="T29" s="94">
        <f t="shared" ca="1" si="17"/>
        <v>4607.4884506610824</v>
      </c>
      <c r="U29" s="94">
        <f t="shared" ca="1" si="17"/>
        <v>4607.4884506610824</v>
      </c>
      <c r="V29" s="94">
        <f t="shared" ca="1" si="17"/>
        <v>4607.4884506610824</v>
      </c>
      <c r="W29" s="94">
        <f t="shared" ref="W29:AA29" ca="1" si="18">W30+W31+W32+W33</f>
        <v>4607.4884506610824</v>
      </c>
      <c r="X29" s="94">
        <f t="shared" ca="1" si="18"/>
        <v>4607.4884506610824</v>
      </c>
      <c r="Y29" s="94">
        <f t="shared" ca="1" si="18"/>
        <v>4607.4884506610824</v>
      </c>
      <c r="Z29" s="94">
        <f t="shared" ca="1" si="18"/>
        <v>4607.4884506610824</v>
      </c>
      <c r="AA29" s="94">
        <f t="shared" ca="1" si="18"/>
        <v>4607.4884506610833</v>
      </c>
    </row>
    <row r="30" spans="2:27" ht="24.9" customHeight="1">
      <c r="B30" s="25">
        <v>2.1</v>
      </c>
      <c r="C30" s="25" t="s">
        <v>214</v>
      </c>
      <c r="D30" s="94">
        <f t="shared" ca="1" si="2"/>
        <v>37452.137836159258</v>
      </c>
      <c r="E30" s="94">
        <f>'4还本付息计划表'!F15</f>
        <v>0</v>
      </c>
      <c r="F30" s="94">
        <f>'4还本付息计划表'!G15</f>
        <v>0</v>
      </c>
      <c r="G30" s="94">
        <f>'4还本付息计划表'!H15</f>
        <v>0</v>
      </c>
      <c r="H30" s="94">
        <f ca="1">'4还本付息计划表'!I15</f>
        <v>3052.1278196800808</v>
      </c>
      <c r="I30" s="94">
        <f ca="1">'4还本付息计划表'!J15</f>
        <v>2965.3386964713413</v>
      </c>
      <c r="J30" s="94">
        <f ca="1">'4还本付息计划表'!K15</f>
        <v>2873.7067401875538</v>
      </c>
      <c r="K30" s="94">
        <f ca="1">'4还本付息计划表'!L15</f>
        <v>2776.9617207431306</v>
      </c>
      <c r="L30" s="94">
        <f ca="1">'4还本付息计划表'!M15</f>
        <v>2674.8183292137087</v>
      </c>
      <c r="M30" s="94">
        <f ca="1">'4还本付息计划表'!N15</f>
        <v>2566.9753364369453</v>
      </c>
      <c r="N30" s="94">
        <f ca="1">'4还本付息计划表'!O15</f>
        <v>2453.1147046632386</v>
      </c>
      <c r="O30" s="94">
        <f ca="1">'4还本付息计划表'!P15</f>
        <v>2332.9006496365591</v>
      </c>
      <c r="P30" s="94">
        <f ca="1">'4还本付息计划表'!Q15</f>
        <v>2205.9786503393907</v>
      </c>
      <c r="Q30" s="94">
        <f ca="1">'4还本付息计划表'!R15</f>
        <v>2071.9744034814403</v>
      </c>
      <c r="R30" s="94">
        <f ca="1">'4还本付息计划表'!S15</f>
        <v>1930.4927196488163</v>
      </c>
      <c r="S30" s="94">
        <f ca="1">'4还本付息计划表'!T15</f>
        <v>1781.1163578583314</v>
      </c>
      <c r="T30" s="94">
        <f ca="1">'4还本付息计划表'!U15</f>
        <v>1623.4047950799379</v>
      </c>
      <c r="U30" s="94">
        <f ca="1">'4还本付息计划表'!V15</f>
        <v>1456.8929270985102</v>
      </c>
      <c r="V30" s="94">
        <f ca="1">'4还本付息计划表'!W15</f>
        <v>1281.0896968837185</v>
      </c>
      <c r="W30" s="94">
        <f ca="1">'4还本付息计划表'!X15</f>
        <v>1095.4766464229415</v>
      </c>
      <c r="X30" s="94">
        <f ca="1">'4还本付息计划表'!Y15</f>
        <v>899.50638774645347</v>
      </c>
      <c r="Y30" s="94">
        <f ca="1">'4还本付息计划表'!Z15</f>
        <v>692.6009886358172</v>
      </c>
      <c r="Z30" s="94">
        <f ca="1">'4还本付息计划表'!AA15</f>
        <v>474.15026825480749</v>
      </c>
      <c r="AA30" s="94">
        <f ca="1">'4还本付息计划表'!AB15</f>
        <v>243.5099976765373</v>
      </c>
    </row>
    <row r="31" spans="2:27" ht="24.9" customHeight="1">
      <c r="B31" s="25">
        <v>2.2000000000000002</v>
      </c>
      <c r="C31" s="25" t="s">
        <v>215</v>
      </c>
      <c r="D31" s="94">
        <f t="shared" ca="1" si="2"/>
        <v>54697.631177062387</v>
      </c>
      <c r="E31" s="94">
        <f>'4还本付息计划表'!F14</f>
        <v>0</v>
      </c>
      <c r="F31" s="94">
        <f>'4还本付息计划表'!G14</f>
        <v>0</v>
      </c>
      <c r="G31" s="94">
        <f>'4还本付息计划表'!H14</f>
        <v>0</v>
      </c>
      <c r="H31" s="94">
        <f ca="1">'4还本付息计划表'!I14</f>
        <v>1555.3606309810016</v>
      </c>
      <c r="I31" s="94">
        <f ca="1">'4还本付息计划表'!J14</f>
        <v>1642.1497541897411</v>
      </c>
      <c r="J31" s="94">
        <f ca="1">'4还本付息计划表'!K14</f>
        <v>1733.7817104735286</v>
      </c>
      <c r="K31" s="94">
        <f ca="1">'4还本付息计划表'!L14</f>
        <v>1830.5267299179518</v>
      </c>
      <c r="L31" s="94">
        <f ca="1">'4还本付息计划表'!M14</f>
        <v>1932.6701214473737</v>
      </c>
      <c r="M31" s="94">
        <f ca="1">'4还本付息计划表'!N14</f>
        <v>2040.5131142241371</v>
      </c>
      <c r="N31" s="94">
        <f ca="1">'4还本付息计划表'!O14</f>
        <v>2154.3737459978438</v>
      </c>
      <c r="O31" s="94">
        <f ca="1">'4还本付息计划表'!P14</f>
        <v>2274.5878010245233</v>
      </c>
      <c r="P31" s="94">
        <f ca="1">'4还本付息计划表'!Q14</f>
        <v>2401.5098003216917</v>
      </c>
      <c r="Q31" s="94">
        <f ca="1">'4还本付息计划表'!R14</f>
        <v>2535.5140471796421</v>
      </c>
      <c r="R31" s="94">
        <f ca="1">'4还本付息计划表'!S14</f>
        <v>2676.9957310122663</v>
      </c>
      <c r="S31" s="94">
        <f ca="1">'4还本付息计划表'!T14</f>
        <v>2826.372092802751</v>
      </c>
      <c r="T31" s="94">
        <f ca="1">'4还本付息计划表'!U14</f>
        <v>2984.0836555811447</v>
      </c>
      <c r="U31" s="94">
        <f ca="1">'4还本付息计划表'!V14</f>
        <v>3150.5955235625725</v>
      </c>
      <c r="V31" s="94">
        <f ca="1">'4还本付息计划表'!W14</f>
        <v>3326.3987537773637</v>
      </c>
      <c r="W31" s="94">
        <f ca="1">'4还本付息计划表'!X14</f>
        <v>3512.0118042381409</v>
      </c>
      <c r="X31" s="94">
        <f ca="1">'4还本付息计划表'!Y14</f>
        <v>3707.9820629146288</v>
      </c>
      <c r="Y31" s="94">
        <f ca="1">'4还本付息计划表'!Z14</f>
        <v>3914.8874620252654</v>
      </c>
      <c r="Z31" s="94">
        <f ca="1">'4还本付息计划表'!AA14</f>
        <v>4133.3381824062753</v>
      </c>
      <c r="AA31" s="94">
        <f ca="1">'4还本付息计划表'!AB14</f>
        <v>4363.9784529845456</v>
      </c>
    </row>
    <row r="32" spans="2:27" ht="24.9" customHeight="1">
      <c r="B32" s="25">
        <v>2.2999999999999998</v>
      </c>
      <c r="C32" s="25" t="s">
        <v>216</v>
      </c>
      <c r="D32" s="94"/>
      <c r="E32" s="94"/>
      <c r="F32" s="94"/>
      <c r="G32" s="94"/>
      <c r="H32" s="94"/>
      <c r="I32" s="94"/>
      <c r="J32" s="94"/>
      <c r="K32" s="94"/>
      <c r="L32" s="94"/>
      <c r="M32" s="94"/>
      <c r="N32" s="94"/>
      <c r="O32" s="94"/>
      <c r="P32" s="94"/>
      <c r="Q32" s="94"/>
      <c r="R32" s="94"/>
      <c r="S32" s="94"/>
      <c r="T32" s="94"/>
      <c r="U32" s="94"/>
      <c r="V32" s="94"/>
      <c r="W32" s="94"/>
      <c r="X32" s="94"/>
      <c r="Y32" s="94"/>
      <c r="Z32" s="94"/>
      <c r="AA32" s="94"/>
    </row>
    <row r="33" spans="2:27" ht="24.9" customHeight="1">
      <c r="B33" s="25">
        <v>2.4</v>
      </c>
      <c r="C33" s="25" t="s">
        <v>208</v>
      </c>
      <c r="D33" s="94"/>
      <c r="E33" s="94"/>
      <c r="F33" s="94"/>
      <c r="G33" s="94"/>
      <c r="H33" s="94"/>
      <c r="I33" s="94"/>
      <c r="J33" s="94"/>
      <c r="K33" s="94"/>
      <c r="L33" s="94"/>
      <c r="M33" s="94"/>
      <c r="N33" s="94"/>
      <c r="O33" s="94"/>
      <c r="P33" s="94"/>
      <c r="Q33" s="94"/>
      <c r="R33" s="94"/>
      <c r="S33" s="94"/>
      <c r="T33" s="94"/>
      <c r="U33" s="94"/>
      <c r="V33" s="94"/>
      <c r="W33" s="94"/>
      <c r="X33" s="94"/>
      <c r="Y33" s="94"/>
      <c r="Z33" s="94"/>
      <c r="AA33" s="94"/>
    </row>
    <row r="34" spans="2:27" ht="24.9" customHeight="1">
      <c r="B34" s="210" t="s">
        <v>129</v>
      </c>
      <c r="C34" s="210" t="s">
        <v>217</v>
      </c>
      <c r="D34" s="94">
        <f t="shared" ca="1" si="2"/>
        <v>-17303.559665200912</v>
      </c>
      <c r="E34" s="207">
        <f ca="1">E5+E14+E23</f>
        <v>0</v>
      </c>
      <c r="F34" s="207">
        <f t="shared" ref="F34:V34" ca="1" si="19">F5+F14+F23</f>
        <v>0</v>
      </c>
      <c r="G34" s="207">
        <f t="shared" ca="1" si="19"/>
        <v>0</v>
      </c>
      <c r="H34" s="94">
        <f t="shared" ca="1" si="19"/>
        <v>-1073.6514410145846</v>
      </c>
      <c r="I34" s="94">
        <f t="shared" ca="1" si="19"/>
        <v>-1077.0631729046941</v>
      </c>
      <c r="J34" s="94">
        <f t="shared" ca="1" si="19"/>
        <v>-1077.0650866646938</v>
      </c>
      <c r="K34" s="94">
        <f t="shared" ca="1" si="19"/>
        <v>-1075.5624126007074</v>
      </c>
      <c r="L34" s="94">
        <f t="shared" ca="1" si="19"/>
        <v>-1075.5644036766121</v>
      </c>
      <c r="M34" s="94">
        <f t="shared" ca="1" si="19"/>
        <v>-1075.5664345740342</v>
      </c>
      <c r="N34" s="94">
        <f t="shared" ca="1" si="19"/>
        <v>-1073.9886486852583</v>
      </c>
      <c r="O34" s="94">
        <f t="shared" ca="1" si="19"/>
        <v>-1073.9907616309365</v>
      </c>
      <c r="P34" s="94">
        <f t="shared" ca="1" si="19"/>
        <v>-1073.9929168355279</v>
      </c>
      <c r="Q34" s="94">
        <f t="shared" ca="1" si="19"/>
        <v>1972.1703627203833</v>
      </c>
      <c r="R34" s="94">
        <f t="shared" ca="1" si="19"/>
        <v>-595.0784212358667</v>
      </c>
      <c r="S34" s="94">
        <f t="shared" ca="1" si="19"/>
        <v>-632.42422702375325</v>
      </c>
      <c r="T34" s="94">
        <f t="shared" ca="1" si="19"/>
        <v>-669.67662638033471</v>
      </c>
      <c r="U34" s="94">
        <f t="shared" ca="1" si="19"/>
        <v>-955.76966626780722</v>
      </c>
      <c r="V34" s="94">
        <f t="shared" ca="1" si="19"/>
        <v>-999.72229415431775</v>
      </c>
      <c r="W34" s="94">
        <f t="shared" ref="W34:AA34" ca="1" si="20">W5+W14+W23</f>
        <v>-1045.8347923205847</v>
      </c>
      <c r="X34" s="94">
        <f t="shared" ca="1" si="20"/>
        <v>-1094.8292508639652</v>
      </c>
      <c r="Y34" s="94">
        <f t="shared" ca="1" si="20"/>
        <v>-1146.5575323933676</v>
      </c>
      <c r="Z34" s="94">
        <f t="shared" ca="1" si="20"/>
        <v>-1200.8649306275829</v>
      </c>
      <c r="AA34" s="94">
        <f t="shared" ca="1" si="20"/>
        <v>-1258.5270080666651</v>
      </c>
    </row>
    <row r="35" spans="2:27" ht="24.9" customHeight="1">
      <c r="B35" s="210" t="s">
        <v>131</v>
      </c>
      <c r="C35" s="210" t="s">
        <v>218</v>
      </c>
      <c r="D35" s="94">
        <f t="shared" ca="1" si="2"/>
        <v>-179540.40777896802</v>
      </c>
      <c r="E35" s="207">
        <f ca="1">E34</f>
        <v>0</v>
      </c>
      <c r="F35" s="207">
        <f ca="1">E35+F34</f>
        <v>0</v>
      </c>
      <c r="G35" s="207">
        <f t="shared" ref="G35:V35" ca="1" si="21">F35+G34</f>
        <v>0</v>
      </c>
      <c r="H35" s="94">
        <f t="shared" ca="1" si="21"/>
        <v>-1073.6514410145846</v>
      </c>
      <c r="I35" s="94">
        <f t="shared" ca="1" si="21"/>
        <v>-2150.7146139192787</v>
      </c>
      <c r="J35" s="94">
        <f t="shared" ca="1" si="21"/>
        <v>-3227.7797005839725</v>
      </c>
      <c r="K35" s="94">
        <f t="shared" ca="1" si="21"/>
        <v>-4303.3421131846799</v>
      </c>
      <c r="L35" s="94">
        <f t="shared" ca="1" si="21"/>
        <v>-5378.9065168612924</v>
      </c>
      <c r="M35" s="94">
        <f t="shared" ca="1" si="21"/>
        <v>-6454.4729514353266</v>
      </c>
      <c r="N35" s="94">
        <f t="shared" ca="1" si="21"/>
        <v>-7528.461600120585</v>
      </c>
      <c r="O35" s="94">
        <f t="shared" ca="1" si="21"/>
        <v>-8602.4523617515224</v>
      </c>
      <c r="P35" s="94">
        <f t="shared" ca="1" si="21"/>
        <v>-9676.4452785870508</v>
      </c>
      <c r="Q35" s="94">
        <f t="shared" ca="1" si="21"/>
        <v>-7704.2749158666675</v>
      </c>
      <c r="R35" s="94">
        <f t="shared" ca="1" si="21"/>
        <v>-8299.3533371025333</v>
      </c>
      <c r="S35" s="94">
        <f t="shared" ca="1" si="21"/>
        <v>-8931.777564126287</v>
      </c>
      <c r="T35" s="94">
        <f t="shared" ca="1" si="21"/>
        <v>-9601.4541905066217</v>
      </c>
      <c r="U35" s="94">
        <f t="shared" ca="1" si="21"/>
        <v>-10557.223856774428</v>
      </c>
      <c r="V35" s="94">
        <f t="shared" ca="1" si="21"/>
        <v>-11556.946150928747</v>
      </c>
      <c r="W35" s="94">
        <f ca="1">V35+W34</f>
        <v>-12602.78094324933</v>
      </c>
      <c r="X35" s="94">
        <f t="shared" ref="X35" ca="1" si="22">W35+X34</f>
        <v>-13697.610194113295</v>
      </c>
      <c r="Y35" s="94">
        <f t="shared" ref="Y35" ca="1" si="23">X35+Y34</f>
        <v>-14844.167726506663</v>
      </c>
      <c r="Z35" s="94">
        <f t="shared" ref="Z35" ca="1" si="24">Y35+Z34</f>
        <v>-16045.032657134245</v>
      </c>
      <c r="AA35" s="94">
        <f t="shared" ref="AA35" ca="1" si="25">Z35+AA34</f>
        <v>-17303.559665200912</v>
      </c>
    </row>
  </sheetData>
  <mergeCells count="5">
    <mergeCell ref="B3:B4"/>
    <mergeCell ref="C3:C4"/>
    <mergeCell ref="D3:D4"/>
    <mergeCell ref="E3:G3"/>
    <mergeCell ref="H3:AA3"/>
  </mergeCells>
  <phoneticPr fontId="3"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7"/>
  <sheetViews>
    <sheetView topLeftCell="A4" zoomScaleNormal="100" workbookViewId="0">
      <selection activeCell="B3" sqref="B3:Z24"/>
    </sheetView>
  </sheetViews>
  <sheetFormatPr defaultColWidth="10.90625" defaultRowHeight="17.399999999999999"/>
  <cols>
    <col min="1" max="1" width="10.90625" style="28"/>
    <col min="2" max="2" width="14.08984375" style="28" customWidth="1"/>
    <col min="3" max="3" width="21.6328125" style="28" bestFit="1" customWidth="1"/>
    <col min="4" max="20" width="12.90625" style="28" bestFit="1" customWidth="1"/>
    <col min="21" max="26" width="12.453125" style="28" bestFit="1" customWidth="1"/>
    <col min="27" max="16384" width="10.90625" style="28"/>
  </cols>
  <sheetData>
    <row r="1" spans="2:26" ht="24.9" customHeight="1"/>
    <row r="2" spans="2:26" ht="24.9" customHeight="1">
      <c r="B2" s="188" t="s">
        <v>372</v>
      </c>
    </row>
    <row r="3" spans="2:26" ht="24.9" customHeight="1">
      <c r="B3" s="621" t="s">
        <v>112</v>
      </c>
      <c r="C3" s="621" t="s">
        <v>153</v>
      </c>
      <c r="D3" s="585" t="s">
        <v>75</v>
      </c>
      <c r="E3" s="585"/>
      <c r="F3" s="585"/>
      <c r="G3" s="585" t="s">
        <v>497</v>
      </c>
      <c r="H3" s="585"/>
      <c r="I3" s="585"/>
      <c r="J3" s="585"/>
      <c r="K3" s="585"/>
      <c r="L3" s="585"/>
      <c r="M3" s="585"/>
      <c r="N3" s="585"/>
      <c r="O3" s="585"/>
      <c r="P3" s="585"/>
      <c r="Q3" s="585"/>
      <c r="R3" s="585"/>
      <c r="S3" s="585"/>
      <c r="T3" s="585"/>
      <c r="U3" s="585"/>
      <c r="V3" s="585"/>
      <c r="W3" s="585"/>
      <c r="X3" s="585"/>
      <c r="Y3" s="585"/>
      <c r="Z3" s="585"/>
    </row>
    <row r="4" spans="2:26" ht="24.9" customHeight="1">
      <c r="B4" s="621"/>
      <c r="C4" s="621"/>
      <c r="D4" s="241">
        <v>1</v>
      </c>
      <c r="E4" s="241">
        <v>2</v>
      </c>
      <c r="F4" s="241">
        <v>3</v>
      </c>
      <c r="G4" s="241">
        <v>4</v>
      </c>
      <c r="H4" s="241">
        <v>5</v>
      </c>
      <c r="I4" s="241">
        <v>6</v>
      </c>
      <c r="J4" s="241">
        <v>7</v>
      </c>
      <c r="K4" s="241">
        <v>8</v>
      </c>
      <c r="L4" s="241">
        <v>9</v>
      </c>
      <c r="M4" s="241">
        <v>10</v>
      </c>
      <c r="N4" s="241">
        <v>11</v>
      </c>
      <c r="O4" s="241">
        <v>12</v>
      </c>
      <c r="P4" s="241">
        <v>13</v>
      </c>
      <c r="Q4" s="241">
        <v>14</v>
      </c>
      <c r="R4" s="241">
        <v>15</v>
      </c>
      <c r="S4" s="241">
        <v>16</v>
      </c>
      <c r="T4" s="241">
        <v>17</v>
      </c>
      <c r="U4" s="241">
        <v>18</v>
      </c>
      <c r="V4" s="334">
        <v>19</v>
      </c>
      <c r="W4" s="334">
        <v>20</v>
      </c>
      <c r="X4" s="334">
        <v>21</v>
      </c>
      <c r="Y4" s="334">
        <v>22</v>
      </c>
      <c r="Z4" s="334">
        <v>23</v>
      </c>
    </row>
    <row r="5" spans="2:26" ht="24.9" customHeight="1">
      <c r="B5" s="61">
        <v>1</v>
      </c>
      <c r="C5" s="116" t="s">
        <v>219</v>
      </c>
      <c r="D5" s="65">
        <f ca="1">D6+D9+D10</f>
        <v>23704.247137035207</v>
      </c>
      <c r="E5" s="65">
        <f t="shared" ref="E5:U5" ca="1" si="0">E6+E9+E10</f>
        <v>42118.074961189515</v>
      </c>
      <c r="F5" s="65">
        <f t="shared" ca="1" si="0"/>
        <v>61372.493217467818</v>
      </c>
      <c r="G5" s="65">
        <f t="shared" ca="1" si="0"/>
        <v>57012.423996042759</v>
      </c>
      <c r="H5" s="65">
        <f t="shared" ca="1" si="0"/>
        <v>52648.94304272758</v>
      </c>
      <c r="I5" s="65">
        <f t="shared" ca="1" si="0"/>
        <v>48285.460175652399</v>
      </c>
      <c r="J5" s="65">
        <f t="shared" ca="1" si="0"/>
        <v>43921.975356542025</v>
      </c>
      <c r="K5" s="65">
        <f t="shared" ca="1" si="0"/>
        <v>39558.488546355744</v>
      </c>
      <c r="L5" s="65">
        <f t="shared" ca="1" si="0"/>
        <v>35194.999705272035</v>
      </c>
      <c r="M5" s="65">
        <f t="shared" ca="1" si="0"/>
        <v>30831.508792672961</v>
      </c>
      <c r="N5" s="65">
        <f t="shared" ca="1" si="0"/>
        <v>26468.01576712821</v>
      </c>
      <c r="O5" s="65">
        <f t="shared" ca="1" si="0"/>
        <v>22104.520586378865</v>
      </c>
      <c r="P5" s="65">
        <f t="shared" ca="1" si="0"/>
        <v>20785.529834911082</v>
      </c>
      <c r="Q5" s="65">
        <f t="shared" ca="1" si="0"/>
        <v>16899.290299487046</v>
      </c>
      <c r="R5" s="65">
        <f t="shared" ca="1" si="0"/>
        <v>12975.704958275122</v>
      </c>
      <c r="S5" s="65">
        <f t="shared" ca="1" si="0"/>
        <v>9013.1254249185477</v>
      </c>
      <c r="T5" s="65">
        <f t="shared" ca="1" si="0"/>
        <v>4764.4528516744995</v>
      </c>
      <c r="U5" s="65">
        <f t="shared" ca="1" si="0"/>
        <v>471.8276505439444</v>
      </c>
      <c r="V5" s="65">
        <f t="shared" ref="V5:Z5" ca="1" si="1">V6+V9+V10</f>
        <v>-3868.7389311803527</v>
      </c>
      <c r="W5" s="65">
        <f t="shared" ca="1" si="1"/>
        <v>-8258.2999714480302</v>
      </c>
      <c r="X5" s="65">
        <f t="shared" ca="1" si="1"/>
        <v>-12699.58929324511</v>
      </c>
      <c r="Y5" s="65">
        <f t="shared" ca="1" si="1"/>
        <v>-17197.106339825255</v>
      </c>
      <c r="Z5" s="65">
        <f t="shared" ca="1" si="1"/>
        <v>-21752.285463844481</v>
      </c>
    </row>
    <row r="6" spans="2:26" ht="24.9" customHeight="1">
      <c r="B6" s="25">
        <v>1.1000000000000001</v>
      </c>
      <c r="C6" s="117" t="s">
        <v>220</v>
      </c>
      <c r="D6" s="65">
        <f>D7+D8</f>
        <v>0</v>
      </c>
      <c r="E6" s="65">
        <f t="shared" ref="E6:U6" si="2">E7+E8</f>
        <v>0</v>
      </c>
      <c r="F6" s="65">
        <f t="shared" si="2"/>
        <v>0</v>
      </c>
      <c r="G6" s="65">
        <f t="shared" ca="1" si="2"/>
        <v>-1291.4445605516757</v>
      </c>
      <c r="H6" s="65">
        <f t="shared" ca="1" si="2"/>
        <v>-2586.30085299346</v>
      </c>
      <c r="I6" s="65">
        <f t="shared" ca="1" si="2"/>
        <v>-3881.1590591952454</v>
      </c>
      <c r="J6" s="65">
        <f t="shared" ca="1" si="2"/>
        <v>-5176.0192174322301</v>
      </c>
      <c r="K6" s="65">
        <f t="shared" ca="1" si="2"/>
        <v>-6470.8813667451195</v>
      </c>
      <c r="L6" s="65">
        <f t="shared" ca="1" si="2"/>
        <v>-7765.7455469554316</v>
      </c>
      <c r="M6" s="65">
        <f t="shared" ca="1" si="2"/>
        <v>-9060.6117986811132</v>
      </c>
      <c r="N6" s="65">
        <f t="shared" ca="1" si="2"/>
        <v>-10355.480163352473</v>
      </c>
      <c r="O6" s="65">
        <f t="shared" ca="1" si="2"/>
        <v>-11650.350683228424</v>
      </c>
      <c r="P6" s="65">
        <f t="shared" ca="1" si="2"/>
        <v>-9900.7167738228163</v>
      </c>
      <c r="Q6" s="65">
        <f t="shared" ca="1" si="2"/>
        <v>-10718.33164837346</v>
      </c>
      <c r="R6" s="65">
        <f t="shared" ca="1" si="2"/>
        <v>-11573.29232871199</v>
      </c>
      <c r="S6" s="65">
        <f t="shared" ca="1" si="2"/>
        <v>-12467.247201195172</v>
      </c>
      <c r="T6" s="65">
        <f t="shared" ca="1" si="2"/>
        <v>-13647.295113565828</v>
      </c>
      <c r="U6" s="65">
        <f t="shared" ca="1" si="2"/>
        <v>-14871.295653822992</v>
      </c>
      <c r="V6" s="65">
        <f t="shared" ref="V6:Z6" ca="1" si="3">V7+V8</f>
        <v>-16143.237574673898</v>
      </c>
      <c r="W6" s="65">
        <f t="shared" ca="1" si="3"/>
        <v>-17464.173954068185</v>
      </c>
      <c r="X6" s="65">
        <f t="shared" ca="1" si="3"/>
        <v>-18836.838614991873</v>
      </c>
      <c r="Y6" s="65">
        <f t="shared" ca="1" si="3"/>
        <v>-20265.731000698626</v>
      </c>
      <c r="Z6" s="65">
        <f t="shared" ca="1" si="3"/>
        <v>-21752.285463844462</v>
      </c>
    </row>
    <row r="7" spans="2:26" ht="24.9" customHeight="1">
      <c r="B7" s="25" t="s">
        <v>221</v>
      </c>
      <c r="C7" s="117" t="s">
        <v>222</v>
      </c>
      <c r="D7" s="65"/>
      <c r="E7" s="65"/>
      <c r="F7" s="65"/>
      <c r="G7" s="65">
        <f ca="1">SUM('11资本金现金流量表'!$H$20:'11资本金现金流量表'!H20)</f>
        <v>-1291.4445605516757</v>
      </c>
      <c r="H7" s="65">
        <f ca="1">SUM('11资本金现金流量表'!$H$20:'11资本金现金流量表'!I20)</f>
        <v>-2586.30085299346</v>
      </c>
      <c r="I7" s="65">
        <f ca="1">SUM('11资本金现金流量表'!$H$20:'11资本金现金流量表'!J20)</f>
        <v>-3881.1590591952454</v>
      </c>
      <c r="J7" s="65">
        <f ca="1">SUM('11资本金现金流量表'!$H$20:'11资本金现金流量表'!K20)</f>
        <v>-5176.0192174322301</v>
      </c>
      <c r="K7" s="65">
        <f ca="1">SUM('11资本金现金流量表'!$H$20:'11资本金现金流量表'!L20)</f>
        <v>-6470.8813667451195</v>
      </c>
      <c r="L7" s="65">
        <f ca="1">SUM('11资本金现金流量表'!$H$20:'11资本金现金流量表'!M20)</f>
        <v>-7765.7455469554316</v>
      </c>
      <c r="M7" s="65">
        <f ca="1">SUM('11资本金现金流量表'!$H$20:'11资本金现金流量表'!N20)</f>
        <v>-9060.6117986811132</v>
      </c>
      <c r="N7" s="65">
        <f ca="1">SUM('11资本金现金流量表'!$H$20:'11资本金现金流量表'!O20)</f>
        <v>-10355.480163352473</v>
      </c>
      <c r="O7" s="65">
        <f ca="1">SUM('11资本金现金流量表'!$H$20:'11资本金现金流量表'!P20)</f>
        <v>-11650.350683228424</v>
      </c>
      <c r="P7" s="65">
        <f ca="1">SUM('11资本金现金流量表'!$H$20:'11资本金现金流量表'!Q20)</f>
        <v>-9900.7167738228163</v>
      </c>
      <c r="Q7" s="65">
        <f ca="1">SUM('11资本金现金流量表'!$H$20:'11资本金现金流量表'!R20)</f>
        <v>-10718.33164837346</v>
      </c>
      <c r="R7" s="65">
        <f ca="1">SUM('11资本金现金流量表'!$H$20:'11资本金现金流量表'!S20)</f>
        <v>-11573.29232871199</v>
      </c>
      <c r="S7" s="65">
        <f ca="1">SUM('11资本金现金流量表'!$H$20:'11资本金现金流量表'!T20)</f>
        <v>-12467.247201195172</v>
      </c>
      <c r="T7" s="65">
        <f ca="1">SUM('11资本金现金流量表'!$H$20:'11资本金现金流量表'!U20)</f>
        <v>-13647.295113565828</v>
      </c>
      <c r="U7" s="65">
        <f ca="1">SUM('11资本金现金流量表'!$H$20:'11资本金现金流量表'!V20)</f>
        <v>-14871.295653822992</v>
      </c>
      <c r="V7" s="65">
        <f ca="1">SUM('11资本金现金流量表'!$H$20:'11资本金现金流量表'!W20)</f>
        <v>-16143.237574673898</v>
      </c>
      <c r="W7" s="65">
        <f ca="1">SUM('11资本金现金流量表'!$H$20:'11资本金现金流量表'!X20)</f>
        <v>-17464.173954068185</v>
      </c>
      <c r="X7" s="65">
        <f ca="1">SUM('11资本金现金流量表'!$H$20:'11资本金现金流量表'!Y20)</f>
        <v>-18836.838614991873</v>
      </c>
      <c r="Y7" s="65">
        <f ca="1">SUM('11资本金现金流量表'!$H$20:'11资本金现金流量表'!Z20)</f>
        <v>-20265.731000698626</v>
      </c>
      <c r="Z7" s="65">
        <f ca="1">SUM('11资本金现金流量表'!$H$20:'11资本金现金流量表'!AA20)</f>
        <v>-21752.285463844462</v>
      </c>
    </row>
    <row r="8" spans="2:26" ht="24.9" customHeight="1">
      <c r="B8" s="25" t="s">
        <v>223</v>
      </c>
      <c r="C8" s="117" t="s">
        <v>224</v>
      </c>
      <c r="D8" s="65"/>
      <c r="E8" s="65"/>
      <c r="F8" s="65"/>
      <c r="G8" s="65"/>
      <c r="H8" s="65"/>
      <c r="I8" s="65"/>
      <c r="J8" s="65"/>
      <c r="K8" s="65"/>
      <c r="L8" s="65"/>
      <c r="M8" s="65"/>
      <c r="N8" s="65"/>
      <c r="O8" s="65"/>
      <c r="P8" s="65"/>
      <c r="Q8" s="65"/>
      <c r="R8" s="65"/>
      <c r="S8" s="65"/>
      <c r="T8" s="65"/>
      <c r="U8" s="65"/>
      <c r="V8" s="65"/>
      <c r="W8" s="65"/>
      <c r="X8" s="65"/>
      <c r="Y8" s="65"/>
      <c r="Z8" s="65"/>
    </row>
    <row r="9" spans="2:26" ht="24.9" customHeight="1">
      <c r="B9" s="25">
        <v>1.2</v>
      </c>
      <c r="C9" s="117" t="s">
        <v>225</v>
      </c>
      <c r="D9" s="65">
        <f ca="1">'3资产及税金估算表'!E33-'2投资计划表'!E12+'2投资计划表'!E16</f>
        <v>23704.247137035207</v>
      </c>
      <c r="E9" s="65">
        <f ca="1">'3资产及税金估算表'!F33-'2投资计划表'!F12+D9+'2投资计划表'!F16</f>
        <v>42118.074961189515</v>
      </c>
      <c r="F9" s="65">
        <f ca="1">'3资产及税金估算表'!G33-'2投资计划表'!G12+E9+'2投资计划表'!G16</f>
        <v>61372.493217467818</v>
      </c>
      <c r="G9" s="65"/>
      <c r="H9" s="65"/>
      <c r="I9" s="65"/>
      <c r="J9" s="65"/>
      <c r="K9" s="65"/>
      <c r="L9" s="65"/>
      <c r="M9" s="65"/>
      <c r="N9" s="65"/>
      <c r="O9" s="65"/>
      <c r="P9" s="65"/>
      <c r="Q9" s="65"/>
      <c r="R9" s="65"/>
      <c r="S9" s="65"/>
      <c r="T9" s="65"/>
      <c r="U9" s="65"/>
      <c r="V9" s="65"/>
      <c r="W9" s="65"/>
      <c r="X9" s="65"/>
      <c r="Y9" s="65"/>
      <c r="Z9" s="65"/>
    </row>
    <row r="10" spans="2:26" ht="24.9" customHeight="1">
      <c r="B10" s="25">
        <v>1.3</v>
      </c>
      <c r="C10" s="117" t="s">
        <v>226</v>
      </c>
      <c r="D10" s="65">
        <f>'3-2折旧摊销'!E22</f>
        <v>0</v>
      </c>
      <c r="E10" s="65">
        <f>'3-2折旧摊销'!F22</f>
        <v>0</v>
      </c>
      <c r="F10" s="65">
        <f>'3-2折旧摊销'!G22</f>
        <v>0</v>
      </c>
      <c r="G10" s="65">
        <f ca="1">'3-2折旧摊销'!H22</f>
        <v>58303.868556594432</v>
      </c>
      <c r="H10" s="65">
        <f ca="1">'3-2折旧摊销'!I22</f>
        <v>55235.24389572104</v>
      </c>
      <c r="I10" s="65">
        <f ca="1">'3-2折旧摊销'!J22</f>
        <v>52166.619234847647</v>
      </c>
      <c r="J10" s="65">
        <f ca="1">'3-2折旧摊销'!K22</f>
        <v>49097.994573974254</v>
      </c>
      <c r="K10" s="65">
        <f ca="1">'3-2折旧摊销'!L22</f>
        <v>46029.369913100862</v>
      </c>
      <c r="L10" s="65">
        <f ca="1">'3-2折旧摊销'!M22</f>
        <v>42960.745252227469</v>
      </c>
      <c r="M10" s="65">
        <f ca="1">'3-2折旧摊销'!N22</f>
        <v>39892.120591354076</v>
      </c>
      <c r="N10" s="65">
        <f ca="1">'3-2折旧摊销'!O22</f>
        <v>36823.495930480683</v>
      </c>
      <c r="O10" s="65">
        <f ca="1">'3-2折旧摊销'!P22</f>
        <v>33754.871269607291</v>
      </c>
      <c r="P10" s="65">
        <f ca="1">'3-2折旧摊销'!Q22</f>
        <v>30686.246608733898</v>
      </c>
      <c r="Q10" s="65">
        <f ca="1">'3-2折旧摊销'!R22</f>
        <v>27617.621947860505</v>
      </c>
      <c r="R10" s="65">
        <f ca="1">'3-2折旧摊销'!S22</f>
        <v>24548.997286987113</v>
      </c>
      <c r="S10" s="65">
        <f ca="1">'3-2折旧摊销'!T22</f>
        <v>21480.37262611372</v>
      </c>
      <c r="T10" s="65">
        <f ca="1">'3-2折旧摊销'!U22</f>
        <v>18411.747965240327</v>
      </c>
      <c r="U10" s="65">
        <f ca="1">'3-2折旧摊销'!V22</f>
        <v>15343.123304366936</v>
      </c>
      <c r="V10" s="65">
        <f ca="1">'3-2折旧摊销'!W22</f>
        <v>12274.498643493545</v>
      </c>
      <c r="W10" s="65">
        <f ca="1">'3-2折旧摊销'!X22</f>
        <v>9205.8739826201545</v>
      </c>
      <c r="X10" s="65">
        <f ca="1">'3-2折旧摊销'!Y22</f>
        <v>6137.2493217467636</v>
      </c>
      <c r="Y10" s="65">
        <f ca="1">'3-2折旧摊销'!Z22</f>
        <v>3068.6246608733722</v>
      </c>
      <c r="Z10" s="65">
        <f ca="1">'3-2折旧摊销'!AA22</f>
        <v>-1.9099388737231493E-11</v>
      </c>
    </row>
    <row r="11" spans="2:26" ht="24.9" customHeight="1">
      <c r="B11" s="61">
        <v>2</v>
      </c>
      <c r="C11" s="116" t="s">
        <v>227</v>
      </c>
      <c r="D11" s="65">
        <f ca="1">D18+D19</f>
        <v>23704.247137035214</v>
      </c>
      <c r="E11" s="65">
        <f t="shared" ref="E11:U11" ca="1" si="4">E18+E19</f>
        <v>42118.07496118953</v>
      </c>
      <c r="F11" s="65">
        <f t="shared" ca="1" si="4"/>
        <v>61372.493217467832</v>
      </c>
      <c r="G11" s="65">
        <f t="shared" ca="1" si="4"/>
        <v>57012.423996042766</v>
      </c>
      <c r="H11" s="65">
        <f t="shared" ca="1" si="4"/>
        <v>52648.943042727595</v>
      </c>
      <c r="I11" s="65">
        <f t="shared" ca="1" si="4"/>
        <v>48285.460175652413</v>
      </c>
      <c r="J11" s="65">
        <f t="shared" ca="1" si="4"/>
        <v>43921.97535654204</v>
      </c>
      <c r="K11" s="65">
        <f t="shared" ca="1" si="4"/>
        <v>39558.488546355758</v>
      </c>
      <c r="L11" s="65">
        <f t="shared" ca="1" si="4"/>
        <v>35194.999705272057</v>
      </c>
      <c r="M11" s="65">
        <f t="shared" ca="1" si="4"/>
        <v>30831.508792672979</v>
      </c>
      <c r="N11" s="65">
        <f t="shared" ca="1" si="4"/>
        <v>26468.015767128232</v>
      </c>
      <c r="O11" s="65">
        <f t="shared" ca="1" si="4"/>
        <v>22104.520586378883</v>
      </c>
      <c r="P11" s="65">
        <f t="shared" ca="1" si="4"/>
        <v>20785.529834911104</v>
      </c>
      <c r="Q11" s="65">
        <f t="shared" ca="1" si="4"/>
        <v>16899.29029948706</v>
      </c>
      <c r="R11" s="65">
        <f t="shared" ca="1" si="4"/>
        <v>12975.704958275139</v>
      </c>
      <c r="S11" s="65">
        <f t="shared" ca="1" si="4"/>
        <v>11095.716998950316</v>
      </c>
      <c r="T11" s="65">
        <f t="shared" ca="1" si="4"/>
        <v>6847.04442570627</v>
      </c>
      <c r="U11" s="65">
        <f t="shared" ca="1" si="4"/>
        <v>2554.4192245757149</v>
      </c>
      <c r="V11" s="65">
        <f t="shared" ref="V11:Z11" ca="1" si="5">V18+V19</f>
        <v>-1786.1473571485785</v>
      </c>
      <c r="W11" s="65">
        <f t="shared" ca="1" si="5"/>
        <v>-6175.7083974162542</v>
      </c>
      <c r="X11" s="65">
        <f t="shared" ca="1" si="5"/>
        <v>-10616.997719213332</v>
      </c>
      <c r="Y11" s="65">
        <f t="shared" ca="1" si="5"/>
        <v>-15114.514765793476</v>
      </c>
      <c r="Z11" s="65">
        <f t="shared" ca="1" si="5"/>
        <v>-19669.693889812701</v>
      </c>
    </row>
    <row r="12" spans="2:26" ht="24.9" customHeight="1">
      <c r="B12" s="25">
        <v>2.1</v>
      </c>
      <c r="C12" s="117" t="s">
        <v>228</v>
      </c>
      <c r="D12" s="94">
        <f>D13+D14</f>
        <v>-1591.2380167248518</v>
      </c>
      <c r="E12" s="94">
        <f t="shared" ref="E12:U12" si="6">E13+E14</f>
        <v>-3269.8113007225784</v>
      </c>
      <c r="F12" s="94">
        <f t="shared" si="6"/>
        <v>-4948.3845847203047</v>
      </c>
      <c r="G12" s="94">
        <f t="shared" ca="1" si="6"/>
        <v>-4730.5914651832136</v>
      </c>
      <c r="H12" s="94">
        <f t="shared" ca="1" si="6"/>
        <v>-4512.7983456461225</v>
      </c>
      <c r="I12" s="94">
        <f t="shared" ca="1" si="6"/>
        <v>-4295.0052261090314</v>
      </c>
      <c r="J12" s="94">
        <f t="shared" ca="1" si="6"/>
        <v>-4075.7074804727536</v>
      </c>
      <c r="K12" s="94">
        <f t="shared" ca="1" si="6"/>
        <v>-3856.4097348364758</v>
      </c>
      <c r="L12" s="94">
        <f t="shared" ca="1" si="6"/>
        <v>-3637.111989200198</v>
      </c>
      <c r="M12" s="94">
        <f t="shared" ca="1" si="6"/>
        <v>-3416.2343861597747</v>
      </c>
      <c r="N12" s="94">
        <f t="shared" ca="1" si="6"/>
        <v>-3195.3567831193513</v>
      </c>
      <c r="O12" s="94">
        <f t="shared" ca="1" si="6"/>
        <v>-2974.479180078928</v>
      </c>
      <c r="P12" s="94">
        <f t="shared" ca="1" si="6"/>
        <v>-2751.9427267641518</v>
      </c>
      <c r="Q12" s="94">
        <f t="shared" ca="1" si="6"/>
        <v>-2529.4062734493755</v>
      </c>
      <c r="R12" s="94">
        <f t="shared" ca="1" si="6"/>
        <v>-2306.8698201345992</v>
      </c>
      <c r="S12" s="94">
        <f t="shared" si="6"/>
        <v>0</v>
      </c>
      <c r="T12" s="94">
        <f t="shared" si="6"/>
        <v>0</v>
      </c>
      <c r="U12" s="94">
        <f t="shared" si="6"/>
        <v>0</v>
      </c>
      <c r="V12" s="94">
        <f t="shared" ref="V12:Z12" si="7">V13+V14</f>
        <v>0</v>
      </c>
      <c r="W12" s="94">
        <f t="shared" si="7"/>
        <v>0</v>
      </c>
      <c r="X12" s="94">
        <f t="shared" si="7"/>
        <v>0</v>
      </c>
      <c r="Y12" s="94">
        <f t="shared" si="7"/>
        <v>0</v>
      </c>
      <c r="Z12" s="94">
        <f t="shared" si="7"/>
        <v>0</v>
      </c>
    </row>
    <row r="13" spans="2:26" ht="24.9" customHeight="1">
      <c r="B13" s="25" t="s">
        <v>229</v>
      </c>
      <c r="C13" s="117" t="s">
        <v>213</v>
      </c>
      <c r="D13" s="65"/>
      <c r="E13" s="65"/>
      <c r="F13" s="65"/>
      <c r="G13" s="65"/>
      <c r="H13" s="65"/>
      <c r="I13" s="65"/>
      <c r="J13" s="65"/>
      <c r="K13" s="65"/>
      <c r="L13" s="65"/>
      <c r="M13" s="65"/>
      <c r="N13" s="65"/>
      <c r="O13" s="65"/>
      <c r="P13" s="65"/>
      <c r="Q13" s="65"/>
      <c r="R13" s="65"/>
      <c r="S13" s="65"/>
      <c r="T13" s="65"/>
      <c r="U13" s="65"/>
      <c r="V13" s="65"/>
      <c r="W13" s="65"/>
      <c r="X13" s="65"/>
      <c r="Y13" s="65"/>
      <c r="Z13" s="65"/>
    </row>
    <row r="14" spans="2:26" ht="24.9" customHeight="1">
      <c r="B14" s="25" t="s">
        <v>230</v>
      </c>
      <c r="C14" s="117" t="s">
        <v>231</v>
      </c>
      <c r="D14" s="94">
        <f>'8税金及附加'!F20</f>
        <v>-1591.2380167248518</v>
      </c>
      <c r="E14" s="94">
        <f>'8税金及附加'!G20</f>
        <v>-3269.8113007225784</v>
      </c>
      <c r="F14" s="94">
        <f>'8税金及附加'!H20</f>
        <v>-4948.3845847203047</v>
      </c>
      <c r="G14" s="94">
        <f ca="1">'8税金及附加'!I20</f>
        <v>-4730.5914651832136</v>
      </c>
      <c r="H14" s="94">
        <f ca="1">'8税金及附加'!J20</f>
        <v>-4512.7983456461225</v>
      </c>
      <c r="I14" s="94">
        <f ca="1">'8税金及附加'!K20</f>
        <v>-4295.0052261090314</v>
      </c>
      <c r="J14" s="94">
        <f ca="1">'8税金及附加'!L20</f>
        <v>-4075.7074804727536</v>
      </c>
      <c r="K14" s="94">
        <f ca="1">'8税金及附加'!M20</f>
        <v>-3856.4097348364758</v>
      </c>
      <c r="L14" s="94">
        <f ca="1">'8税金及附加'!N20</f>
        <v>-3637.111989200198</v>
      </c>
      <c r="M14" s="94">
        <f ca="1">'8税金及附加'!O20</f>
        <v>-3416.2343861597747</v>
      </c>
      <c r="N14" s="94">
        <f ca="1">'8税金及附加'!P20</f>
        <v>-3195.3567831193513</v>
      </c>
      <c r="O14" s="94">
        <f ca="1">'8税金及附加'!Q20</f>
        <v>-2974.479180078928</v>
      </c>
      <c r="P14" s="94">
        <f ca="1">'8税金及附加'!R20</f>
        <v>-2751.9427267641518</v>
      </c>
      <c r="Q14" s="94">
        <f ca="1">'8税金及附加'!S20</f>
        <v>-2529.4062734493755</v>
      </c>
      <c r="R14" s="94">
        <f ca="1">'8税金及附加'!T20</f>
        <v>-2306.8698201345992</v>
      </c>
      <c r="S14" s="94"/>
      <c r="T14" s="94"/>
      <c r="U14" s="94"/>
      <c r="V14" s="94"/>
      <c r="W14" s="94"/>
      <c r="X14" s="94"/>
      <c r="Y14" s="94"/>
      <c r="Z14" s="94"/>
    </row>
    <row r="15" spans="2:26" ht="24.9" customHeight="1">
      <c r="B15" s="25">
        <v>2.2000000000000002</v>
      </c>
      <c r="C15" s="117" t="s">
        <v>232</v>
      </c>
      <c r="D15" s="65">
        <f ca="1">D16</f>
        <v>20646.186503709763</v>
      </c>
      <c r="E15" s="65">
        <f t="shared" ref="E15:Z15" ca="1" si="8">E16</f>
        <v>37251.613624324076</v>
      </c>
      <c r="F15" s="65">
        <f t="shared" ca="1" si="8"/>
        <v>54697.63117706238</v>
      </c>
      <c r="G15" s="65">
        <f t="shared" ca="1" si="8"/>
        <v>53142.270546081381</v>
      </c>
      <c r="H15" s="65">
        <f t="shared" ca="1" si="8"/>
        <v>51500.120791891641</v>
      </c>
      <c r="I15" s="65">
        <f t="shared" ca="1" si="8"/>
        <v>49766.339081418111</v>
      </c>
      <c r="J15" s="65">
        <f t="shared" ca="1" si="8"/>
        <v>47935.812351500157</v>
      </c>
      <c r="K15" s="65">
        <f t="shared" ca="1" si="8"/>
        <v>46003.142230052785</v>
      </c>
      <c r="L15" s="65">
        <f t="shared" ca="1" si="8"/>
        <v>43962.629115828648</v>
      </c>
      <c r="M15" s="65">
        <f t="shared" ca="1" si="8"/>
        <v>41808.255369830804</v>
      </c>
      <c r="N15" s="65">
        <f t="shared" ca="1" si="8"/>
        <v>39533.667568806282</v>
      </c>
      <c r="O15" s="65">
        <f t="shared" ca="1" si="8"/>
        <v>37132.157768484591</v>
      </c>
      <c r="P15" s="65">
        <f t="shared" ca="1" si="8"/>
        <v>34596.64372130495</v>
      </c>
      <c r="Q15" s="65">
        <f t="shared" ca="1" si="8"/>
        <v>31919.647990292677</v>
      </c>
      <c r="R15" s="65">
        <f t="shared" ca="1" si="8"/>
        <v>29093.275897489926</v>
      </c>
      <c r="S15" s="65">
        <f t="shared" ca="1" si="8"/>
        <v>26109.192241908782</v>
      </c>
      <c r="T15" s="65">
        <f t="shared" ca="1" si="8"/>
        <v>22958.596718346209</v>
      </c>
      <c r="U15" s="65">
        <f t="shared" ca="1" si="8"/>
        <v>19632.197964568844</v>
      </c>
      <c r="V15" s="65">
        <f t="shared" ca="1" si="8"/>
        <v>16120.186160330706</v>
      </c>
      <c r="W15" s="65">
        <f t="shared" ca="1" si="8"/>
        <v>12412.204097416079</v>
      </c>
      <c r="X15" s="65">
        <f t="shared" ca="1" si="8"/>
        <v>8497.3166353908146</v>
      </c>
      <c r="Y15" s="65">
        <f t="shared" ca="1" si="8"/>
        <v>4363.9784529845392</v>
      </c>
      <c r="Z15" s="65">
        <f t="shared" ca="1" si="8"/>
        <v>-6.8212102632969618E-12</v>
      </c>
    </row>
    <row r="16" spans="2:26" ht="24.9" customHeight="1">
      <c r="B16" s="25" t="s">
        <v>233</v>
      </c>
      <c r="C16" s="117" t="s">
        <v>234</v>
      </c>
      <c r="D16" s="65">
        <f ca="1">'4还本付息计划表'!F16</f>
        <v>20646.186503709763</v>
      </c>
      <c r="E16" s="65">
        <f ca="1">'4还本付息计划表'!G16</f>
        <v>37251.613624324076</v>
      </c>
      <c r="F16" s="65">
        <f ca="1">'4还本付息计划表'!H16</f>
        <v>54697.63117706238</v>
      </c>
      <c r="G16" s="65">
        <f ca="1">'4还本付息计划表'!I16</f>
        <v>53142.270546081381</v>
      </c>
      <c r="H16" s="65">
        <f ca="1">'4还本付息计划表'!J16</f>
        <v>51500.120791891641</v>
      </c>
      <c r="I16" s="65">
        <f ca="1">'4还本付息计划表'!K16</f>
        <v>49766.339081418111</v>
      </c>
      <c r="J16" s="65">
        <f ca="1">'4还本付息计划表'!L16</f>
        <v>47935.812351500157</v>
      </c>
      <c r="K16" s="65">
        <f ca="1">'4还本付息计划表'!M16</f>
        <v>46003.142230052785</v>
      </c>
      <c r="L16" s="65">
        <f ca="1">'4还本付息计划表'!N16</f>
        <v>43962.629115828648</v>
      </c>
      <c r="M16" s="65">
        <f ca="1">'4还本付息计划表'!O16</f>
        <v>41808.255369830804</v>
      </c>
      <c r="N16" s="65">
        <f ca="1">'4还本付息计划表'!P16</f>
        <v>39533.667568806282</v>
      </c>
      <c r="O16" s="65">
        <f ca="1">'4还本付息计划表'!Q16</f>
        <v>37132.157768484591</v>
      </c>
      <c r="P16" s="65">
        <f ca="1">'4还本付息计划表'!R16</f>
        <v>34596.64372130495</v>
      </c>
      <c r="Q16" s="65">
        <f ca="1">'4还本付息计划表'!S16</f>
        <v>31919.647990292677</v>
      </c>
      <c r="R16" s="65">
        <f ca="1">'4还本付息计划表'!T16</f>
        <v>29093.275897489926</v>
      </c>
      <c r="S16" s="65">
        <f ca="1">'4还本付息计划表'!U16</f>
        <v>26109.192241908782</v>
      </c>
      <c r="T16" s="65">
        <f ca="1">'4还本付息计划表'!V16</f>
        <v>22958.596718346209</v>
      </c>
      <c r="U16" s="65">
        <f ca="1">'4还本付息计划表'!W16</f>
        <v>19632.197964568844</v>
      </c>
      <c r="V16" s="65">
        <f ca="1">'4还本付息计划表'!X16</f>
        <v>16120.186160330706</v>
      </c>
      <c r="W16" s="65">
        <f ca="1">'4还本付息计划表'!Y16</f>
        <v>12412.204097416079</v>
      </c>
      <c r="X16" s="65">
        <f ca="1">'4还本付息计划表'!Z16</f>
        <v>8497.3166353908146</v>
      </c>
      <c r="Y16" s="65">
        <f ca="1">'4还本付息计划表'!AA16</f>
        <v>4363.9784529845392</v>
      </c>
      <c r="Z16" s="65">
        <f ca="1">'4还本付息计划表'!AB16</f>
        <v>-6.8212102632969618E-12</v>
      </c>
    </row>
    <row r="17" spans="2:26" ht="24.9" customHeight="1">
      <c r="B17" s="25">
        <v>2.2999999999999998</v>
      </c>
      <c r="C17" s="117" t="s">
        <v>235</v>
      </c>
      <c r="D17" s="65"/>
      <c r="E17" s="65"/>
      <c r="F17" s="65"/>
      <c r="G17" s="65"/>
      <c r="H17" s="65"/>
      <c r="I17" s="65"/>
      <c r="J17" s="65"/>
      <c r="K17" s="65"/>
      <c r="L17" s="65"/>
      <c r="M17" s="65"/>
      <c r="N17" s="65"/>
      <c r="O17" s="65"/>
      <c r="P17" s="65"/>
      <c r="Q17" s="65"/>
      <c r="R17" s="65"/>
      <c r="S17" s="65"/>
      <c r="T17" s="65"/>
      <c r="U17" s="65"/>
      <c r="V17" s="65"/>
      <c r="W17" s="65"/>
      <c r="X17" s="65"/>
      <c r="Y17" s="65"/>
      <c r="Z17" s="65"/>
    </row>
    <row r="18" spans="2:26" ht="24.9" customHeight="1">
      <c r="B18" s="25">
        <v>2.4</v>
      </c>
      <c r="C18" s="117" t="s">
        <v>236</v>
      </c>
      <c r="D18" s="65">
        <f ca="1">D12+D15+D17</f>
        <v>19054.948486984911</v>
      </c>
      <c r="E18" s="65">
        <f t="shared" ref="E18:U18" ca="1" si="9">E12+E15+E17</f>
        <v>33981.8023236015</v>
      </c>
      <c r="F18" s="65">
        <f t="shared" ca="1" si="9"/>
        <v>49749.246592342075</v>
      </c>
      <c r="G18" s="65">
        <f t="shared" ca="1" si="9"/>
        <v>48411.679080898168</v>
      </c>
      <c r="H18" s="65">
        <f t="shared" ca="1" si="9"/>
        <v>46987.322446245518</v>
      </c>
      <c r="I18" s="65">
        <f t="shared" ca="1" si="9"/>
        <v>45471.33385530908</v>
      </c>
      <c r="J18" s="65">
        <f t="shared" ca="1" si="9"/>
        <v>43860.104871027404</v>
      </c>
      <c r="K18" s="65">
        <f t="shared" ca="1" si="9"/>
        <v>42146.732495216311</v>
      </c>
      <c r="L18" s="65">
        <f t="shared" ca="1" si="9"/>
        <v>40325.517126628452</v>
      </c>
      <c r="M18" s="65">
        <f t="shared" ca="1" si="9"/>
        <v>38392.020983671027</v>
      </c>
      <c r="N18" s="65">
        <f t="shared" ca="1" si="9"/>
        <v>36338.310785686932</v>
      </c>
      <c r="O18" s="65">
        <f t="shared" ca="1" si="9"/>
        <v>34157.678588405659</v>
      </c>
      <c r="P18" s="65">
        <f t="shared" ca="1" si="9"/>
        <v>31844.700994540799</v>
      </c>
      <c r="Q18" s="65">
        <f t="shared" ca="1" si="9"/>
        <v>29390.241716843302</v>
      </c>
      <c r="R18" s="65">
        <f t="shared" ca="1" si="9"/>
        <v>26786.406077355328</v>
      </c>
      <c r="S18" s="65">
        <f t="shared" ca="1" si="9"/>
        <v>26109.192241908782</v>
      </c>
      <c r="T18" s="65">
        <f t="shared" ca="1" si="9"/>
        <v>22958.596718346209</v>
      </c>
      <c r="U18" s="65">
        <f t="shared" ca="1" si="9"/>
        <v>19632.197964568844</v>
      </c>
      <c r="V18" s="65">
        <f t="shared" ref="V18:Z18" ca="1" si="10">V12+V15+V17</f>
        <v>16120.186160330706</v>
      </c>
      <c r="W18" s="65">
        <f t="shared" ca="1" si="10"/>
        <v>12412.204097416079</v>
      </c>
      <c r="X18" s="65">
        <f t="shared" ca="1" si="10"/>
        <v>8497.3166353908146</v>
      </c>
      <c r="Y18" s="65">
        <f t="shared" ca="1" si="10"/>
        <v>4363.9784529845392</v>
      </c>
      <c r="Z18" s="65">
        <f t="shared" ca="1" si="10"/>
        <v>-6.8212102632969618E-12</v>
      </c>
    </row>
    <row r="19" spans="2:26" ht="24.9" customHeight="1">
      <c r="B19" s="25">
        <v>2.5</v>
      </c>
      <c r="C19" s="117" t="s">
        <v>237</v>
      </c>
      <c r="D19" s="65">
        <f ca="1">D20+D21+D22</f>
        <v>4649.298650050303</v>
      </c>
      <c r="E19" s="65">
        <f t="shared" ref="E19:U19" ca="1" si="11">E20+E21+E22</f>
        <v>8136.2726375880302</v>
      </c>
      <c r="F19" s="65">
        <f t="shared" ca="1" si="11"/>
        <v>11623.246625125757</v>
      </c>
      <c r="G19" s="65">
        <f t="shared" ca="1" si="11"/>
        <v>8600.7449151446017</v>
      </c>
      <c r="H19" s="65">
        <f t="shared" ca="1" si="11"/>
        <v>5661.6205964820747</v>
      </c>
      <c r="I19" s="65">
        <f t="shared" ca="1" si="11"/>
        <v>2814.1263203433355</v>
      </c>
      <c r="J19" s="65">
        <f t="shared" ca="1" si="11"/>
        <v>61.870485514633401</v>
      </c>
      <c r="K19" s="65">
        <f t="shared" ca="1" si="11"/>
        <v>-2588.2439488605505</v>
      </c>
      <c r="L19" s="65">
        <f t="shared" ca="1" si="11"/>
        <v>-5130.5174213563951</v>
      </c>
      <c r="M19" s="65">
        <f t="shared" ca="1" si="11"/>
        <v>-7560.512190998048</v>
      </c>
      <c r="N19" s="65">
        <f t="shared" ca="1" si="11"/>
        <v>-9870.2950185586997</v>
      </c>
      <c r="O19" s="65">
        <f t="shared" ca="1" si="11"/>
        <v>-12053.158002026776</v>
      </c>
      <c r="P19" s="65">
        <f t="shared" ca="1" si="11"/>
        <v>-11059.171159629695</v>
      </c>
      <c r="Q19" s="65">
        <f t="shared" ca="1" si="11"/>
        <v>-12490.951417356242</v>
      </c>
      <c r="R19" s="65">
        <f t="shared" ca="1" si="11"/>
        <v>-13810.70111908019</v>
      </c>
      <c r="S19" s="65">
        <f t="shared" ca="1" si="11"/>
        <v>-15013.475242958466</v>
      </c>
      <c r="T19" s="65">
        <f t="shared" ca="1" si="11"/>
        <v>-16111.552292639939</v>
      </c>
      <c r="U19" s="65">
        <f t="shared" ca="1" si="11"/>
        <v>-17077.778739993129</v>
      </c>
      <c r="V19" s="65">
        <f t="shared" ref="V19:Y19" ca="1" si="12">V20+V21+V22</f>
        <v>-17906.333517479285</v>
      </c>
      <c r="W19" s="65">
        <f t="shared" ca="1" si="12"/>
        <v>-18587.912494832333</v>
      </c>
      <c r="X19" s="65">
        <f t="shared" ca="1" si="12"/>
        <v>-19114.314354604147</v>
      </c>
      <c r="Y19" s="65">
        <f t="shared" ca="1" si="12"/>
        <v>-19478.493218778014</v>
      </c>
      <c r="Z19" s="65">
        <f ca="1">Z20+Z21+Z22</f>
        <v>-19669.693889812694</v>
      </c>
    </row>
    <row r="20" spans="2:26" ht="24.9" customHeight="1">
      <c r="B20" s="25" t="s">
        <v>238</v>
      </c>
      <c r="C20" s="117" t="s">
        <v>239</v>
      </c>
      <c r="D20" s="65">
        <f ca="1">'2投资计划表'!E13</f>
        <v>4649.298650050303</v>
      </c>
      <c r="E20" s="65">
        <f ca="1">'2投资计划表'!F13+D20</f>
        <v>8136.2726375880302</v>
      </c>
      <c r="F20" s="65">
        <f ca="1">'2投资计划表'!G13+E20</f>
        <v>11623.246625125757</v>
      </c>
      <c r="G20" s="65">
        <f ca="1">F20</f>
        <v>11623.246625125757</v>
      </c>
      <c r="H20" s="65">
        <f t="shared" ref="H20:U20" ca="1" si="13">G20</f>
        <v>11623.246625125757</v>
      </c>
      <c r="I20" s="65">
        <f t="shared" ca="1" si="13"/>
        <v>11623.246625125757</v>
      </c>
      <c r="J20" s="65">
        <f t="shared" ca="1" si="13"/>
        <v>11623.246625125757</v>
      </c>
      <c r="K20" s="65">
        <f t="shared" ca="1" si="13"/>
        <v>11623.246625125757</v>
      </c>
      <c r="L20" s="65">
        <f t="shared" ca="1" si="13"/>
        <v>11623.246625125757</v>
      </c>
      <c r="M20" s="65">
        <f t="shared" ca="1" si="13"/>
        <v>11623.246625125757</v>
      </c>
      <c r="N20" s="65">
        <f t="shared" ca="1" si="13"/>
        <v>11623.246625125757</v>
      </c>
      <c r="O20" s="65">
        <f t="shared" ca="1" si="13"/>
        <v>11623.246625125757</v>
      </c>
      <c r="P20" s="65">
        <f t="shared" ca="1" si="13"/>
        <v>11623.246625125757</v>
      </c>
      <c r="Q20" s="65">
        <f t="shared" ca="1" si="13"/>
        <v>11623.246625125757</v>
      </c>
      <c r="R20" s="65">
        <f t="shared" ca="1" si="13"/>
        <v>11623.246625125757</v>
      </c>
      <c r="S20" s="65">
        <f t="shared" ca="1" si="13"/>
        <v>11623.246625125757</v>
      </c>
      <c r="T20" s="65">
        <f t="shared" ca="1" si="13"/>
        <v>11623.246625125757</v>
      </c>
      <c r="U20" s="65">
        <f t="shared" ca="1" si="13"/>
        <v>11623.246625125757</v>
      </c>
      <c r="V20" s="65">
        <f t="shared" ref="V20" ca="1" si="14">U20</f>
        <v>11623.246625125757</v>
      </c>
      <c r="W20" s="65">
        <f t="shared" ref="W20" ca="1" si="15">V20</f>
        <v>11623.246625125757</v>
      </c>
      <c r="X20" s="65">
        <f t="shared" ref="X20" ca="1" si="16">W20</f>
        <v>11623.246625125757</v>
      </c>
      <c r="Y20" s="65">
        <f t="shared" ref="Y20" ca="1" si="17">X20</f>
        <v>11623.246625125757</v>
      </c>
      <c r="Z20" s="65">
        <f t="shared" ref="Z20" ca="1" si="18">Y20</f>
        <v>11623.246625125757</v>
      </c>
    </row>
    <row r="21" spans="2:26" ht="24.9" customHeight="1">
      <c r="B21" s="25" t="s">
        <v>240</v>
      </c>
      <c r="C21" s="117" t="s">
        <v>241</v>
      </c>
      <c r="D21" s="65"/>
      <c r="E21" s="65"/>
      <c r="F21" s="65"/>
      <c r="G21" s="65"/>
      <c r="H21" s="65"/>
      <c r="I21" s="65"/>
      <c r="J21" s="65"/>
      <c r="K21" s="65"/>
      <c r="L21" s="65"/>
      <c r="M21" s="65"/>
      <c r="N21" s="65"/>
      <c r="O21" s="65"/>
      <c r="P21" s="65"/>
      <c r="Q21" s="65"/>
      <c r="R21" s="65"/>
      <c r="S21" s="65"/>
      <c r="T21" s="65"/>
      <c r="U21" s="65"/>
      <c r="V21" s="65"/>
      <c r="W21" s="65"/>
      <c r="X21" s="65"/>
      <c r="Y21" s="65"/>
      <c r="Z21" s="65"/>
    </row>
    <row r="22" spans="2:26" ht="24.9" customHeight="1">
      <c r="B22" s="25" t="s">
        <v>242</v>
      </c>
      <c r="C22" s="117" t="s">
        <v>148</v>
      </c>
      <c r="D22" s="65">
        <f>'9利润与利润分配表'!E20</f>
        <v>0</v>
      </c>
      <c r="E22" s="65">
        <f>'9利润与利润分配表'!F20</f>
        <v>0</v>
      </c>
      <c r="F22" s="65">
        <f>'9利润与利润分配表'!G20</f>
        <v>0</v>
      </c>
      <c r="G22" s="94">
        <f ca="1">'9利润与利润分配表'!H20</f>
        <v>-3022.5017099811562</v>
      </c>
      <c r="H22" s="94">
        <f ca="1">'9利润与利润分配表'!I20</f>
        <v>-5961.6260286436827</v>
      </c>
      <c r="I22" s="94">
        <f ca="1">'9利润与利润分配表'!J20</f>
        <v>-8809.120304782422</v>
      </c>
      <c r="J22" s="94">
        <f ca="1">'9利润与利润分配表'!K20</f>
        <v>-11561.376139611124</v>
      </c>
      <c r="K22" s="94">
        <f ca="1">'9利润与利润分配表'!L20</f>
        <v>-14211.490573986308</v>
      </c>
      <c r="L22" s="94">
        <f ca="1">'9利润与利润分配表'!M20</f>
        <v>-16753.764046482152</v>
      </c>
      <c r="M22" s="94">
        <f ca="1">'9利润与利润分配表'!N20</f>
        <v>-19183.758816123805</v>
      </c>
      <c r="N22" s="94">
        <f ca="1">'9利润与利润分配表'!O20</f>
        <v>-21493.541643684457</v>
      </c>
      <c r="O22" s="94">
        <f ca="1">'9利润与利润分配表'!P20</f>
        <v>-23676.404627152533</v>
      </c>
      <c r="P22" s="94">
        <f ca="1">'9利润与利润分配表'!Q20</f>
        <v>-22682.417784755453</v>
      </c>
      <c r="Q22" s="94">
        <f ca="1">'9利润与利润分配表'!R20</f>
        <v>-24114.198042481999</v>
      </c>
      <c r="R22" s="65">
        <f ca="1">'9利润与利润分配表'!S20</f>
        <v>-25433.947744205947</v>
      </c>
      <c r="S22" s="65">
        <f ca="1">'9利润与利润分配表'!T20</f>
        <v>-26636.721868084223</v>
      </c>
      <c r="T22" s="65">
        <f ca="1">'9利润与利润分配表'!U20</f>
        <v>-27734.798917765696</v>
      </c>
      <c r="U22" s="65">
        <f ca="1">'9利润与利润分配表'!V20</f>
        <v>-28701.025365118887</v>
      </c>
      <c r="V22" s="65">
        <f ca="1">'9利润与利润分配表'!W20</f>
        <v>-29529.580142605042</v>
      </c>
      <c r="W22" s="65">
        <f ca="1">'9利润与利润分配表'!X20</f>
        <v>-30211.159119958091</v>
      </c>
      <c r="X22" s="65">
        <f ca="1">'9利润与利润分配表'!Y20</f>
        <v>-30737.560979729904</v>
      </c>
      <c r="Y22" s="65">
        <f ca="1">'9利润与利润分配表'!Z20</f>
        <v>-31101.739843903772</v>
      </c>
      <c r="Z22" s="65">
        <f ca="1">'9利润与利润分配表'!AA20</f>
        <v>-31292.940514938451</v>
      </c>
    </row>
    <row r="23" spans="2:26" ht="24.9" customHeight="1">
      <c r="B23" s="620" t="s">
        <v>243</v>
      </c>
      <c r="C23" s="620"/>
      <c r="D23" s="96" t="str">
        <f ca="1">IF(ABS(D5-D11)&lt;=0.1,"T","F")</f>
        <v>T</v>
      </c>
      <c r="E23" s="96" t="str">
        <f t="shared" ref="E23:U23" ca="1" si="19">IF(ABS(E5-E11)&lt;=0.1,"T","F")</f>
        <v>T</v>
      </c>
      <c r="F23" s="96" t="str">
        <f t="shared" ca="1" si="19"/>
        <v>T</v>
      </c>
      <c r="G23" s="96" t="str">
        <f t="shared" ca="1" si="19"/>
        <v>T</v>
      </c>
      <c r="H23" s="96" t="str">
        <f t="shared" ca="1" si="19"/>
        <v>T</v>
      </c>
      <c r="I23" s="96" t="str">
        <f t="shared" ca="1" si="19"/>
        <v>T</v>
      </c>
      <c r="J23" s="96" t="str">
        <f t="shared" ca="1" si="19"/>
        <v>T</v>
      </c>
      <c r="K23" s="96" t="str">
        <f t="shared" ca="1" si="19"/>
        <v>T</v>
      </c>
      <c r="L23" s="96" t="str">
        <f t="shared" ca="1" si="19"/>
        <v>T</v>
      </c>
      <c r="M23" s="96" t="str">
        <f t="shared" ca="1" si="19"/>
        <v>T</v>
      </c>
      <c r="N23" s="96" t="str">
        <f t="shared" ca="1" si="19"/>
        <v>T</v>
      </c>
      <c r="O23" s="96" t="str">
        <f t="shared" ca="1" si="19"/>
        <v>T</v>
      </c>
      <c r="P23" s="96" t="str">
        <f t="shared" ca="1" si="19"/>
        <v>T</v>
      </c>
      <c r="Q23" s="96" t="str">
        <f t="shared" ca="1" si="19"/>
        <v>T</v>
      </c>
      <c r="R23" s="96" t="str">
        <f t="shared" ca="1" si="19"/>
        <v>T</v>
      </c>
      <c r="S23" s="96" t="str">
        <f t="shared" ca="1" si="19"/>
        <v>F</v>
      </c>
      <c r="T23" s="96" t="str">
        <f t="shared" ca="1" si="19"/>
        <v>F</v>
      </c>
      <c r="U23" s="96" t="str">
        <f t="shared" ca="1" si="19"/>
        <v>F</v>
      </c>
      <c r="V23" s="96" t="str">
        <f t="shared" ref="V23:Z23" ca="1" si="20">IF(ABS(V5-V11)&lt;=0.1,"T","F")</f>
        <v>F</v>
      </c>
      <c r="W23" s="96" t="str">
        <f t="shared" ca="1" si="20"/>
        <v>F</v>
      </c>
      <c r="X23" s="96" t="str">
        <f t="shared" ca="1" si="20"/>
        <v>F</v>
      </c>
      <c r="Y23" s="96" t="str">
        <f t="shared" ca="1" si="20"/>
        <v>F</v>
      </c>
      <c r="Z23" s="96" t="str">
        <f t="shared" ca="1" si="20"/>
        <v>F</v>
      </c>
    </row>
    <row r="24" spans="2:26" ht="24.9" customHeight="1">
      <c r="B24" s="620" t="s">
        <v>244</v>
      </c>
      <c r="C24" s="620"/>
      <c r="D24" s="92">
        <f ca="1">D18/D5</f>
        <v>0.80386220987435231</v>
      </c>
      <c r="E24" s="92">
        <f t="shared" ref="E24:U24" ca="1" si="21">E18/E5</f>
        <v>0.80682230502972097</v>
      </c>
      <c r="F24" s="92">
        <f t="shared" ca="1" si="21"/>
        <v>0.81061146426070996</v>
      </c>
      <c r="G24" s="92">
        <f t="shared" ca="1" si="21"/>
        <v>0.84914261993593587</v>
      </c>
      <c r="H24" s="92">
        <f t="shared" ca="1" si="21"/>
        <v>0.89246468648217048</v>
      </c>
      <c r="I24" s="92">
        <f t="shared" ca="1" si="21"/>
        <v>0.9417189706775887</v>
      </c>
      <c r="J24" s="92">
        <f t="shared" ca="1" si="21"/>
        <v>0.99859135466899251</v>
      </c>
      <c r="K24" s="92">
        <f t="shared" ca="1" si="21"/>
        <v>1.0654282821202228</v>
      </c>
      <c r="L24" s="92">
        <f t="shared" ca="1" si="21"/>
        <v>1.1457740435948318</v>
      </c>
      <c r="M24" s="92">
        <f t="shared" ca="1" si="21"/>
        <v>1.2452203115273686</v>
      </c>
      <c r="N24" s="92">
        <f t="shared" ca="1" si="21"/>
        <v>1.3729140523944026</v>
      </c>
      <c r="O24" s="92">
        <f t="shared" ca="1" si="21"/>
        <v>1.5452802269529486</v>
      </c>
      <c r="P24" s="92">
        <f t="shared" ca="1" si="21"/>
        <v>1.5320610659178333</v>
      </c>
      <c r="Q24" s="92">
        <f t="shared" ca="1" si="21"/>
        <v>1.7391405908764939</v>
      </c>
      <c r="R24" s="92">
        <f t="shared" ca="1" si="21"/>
        <v>2.064350735739608</v>
      </c>
      <c r="S24" s="92">
        <f t="shared" ca="1" si="21"/>
        <v>2.8967967282164757</v>
      </c>
      <c r="T24" s="92">
        <f t="shared" ca="1" si="21"/>
        <v>4.81872681566725</v>
      </c>
      <c r="U24" s="92">
        <f t="shared" ca="1" si="21"/>
        <v>41.608833102375314</v>
      </c>
      <c r="V24" s="92">
        <f t="shared" ref="V24:Z24" ca="1" si="22">V18/V5</f>
        <v>-4.1667805574599566</v>
      </c>
      <c r="W24" s="92">
        <f t="shared" ca="1" si="22"/>
        <v>-1.502997486205347</v>
      </c>
      <c r="X24" s="92">
        <f t="shared" ca="1" si="22"/>
        <v>-0.66910168818691818</v>
      </c>
      <c r="Y24" s="92">
        <f t="shared" ca="1" si="22"/>
        <v>-0.25376236947947389</v>
      </c>
      <c r="Z24" s="92">
        <f t="shared" ca="1" si="22"/>
        <v>3.1358591144984847E-16</v>
      </c>
    </row>
    <row r="25" spans="2:26" ht="92.1" customHeight="1">
      <c r="D25" s="313">
        <f ca="1">D24*100</f>
        <v>80.386220987435237</v>
      </c>
      <c r="E25" s="313">
        <f t="shared" ref="E25:Y25" ca="1" si="23">E24*100</f>
        <v>80.682230502972089</v>
      </c>
      <c r="F25" s="313">
        <f t="shared" ca="1" si="23"/>
        <v>81.061146426070991</v>
      </c>
      <c r="G25" s="313">
        <f t="shared" ca="1" si="23"/>
        <v>84.914261993593584</v>
      </c>
      <c r="H25" s="313">
        <f t="shared" ca="1" si="23"/>
        <v>89.246468648217046</v>
      </c>
      <c r="I25" s="313">
        <f t="shared" ca="1" si="23"/>
        <v>94.171897067758863</v>
      </c>
      <c r="J25" s="313">
        <f t="shared" ca="1" si="23"/>
        <v>99.859135466899247</v>
      </c>
      <c r="K25" s="313">
        <f t="shared" ca="1" si="23"/>
        <v>106.54282821202227</v>
      </c>
      <c r="L25" s="313">
        <f t="shared" ca="1" si="23"/>
        <v>114.57740435948318</v>
      </c>
      <c r="M25" s="313">
        <f t="shared" ca="1" si="23"/>
        <v>124.52203115273686</v>
      </c>
      <c r="N25" s="313">
        <f t="shared" ca="1" si="23"/>
        <v>137.29140523944025</v>
      </c>
      <c r="O25" s="313">
        <f t="shared" ca="1" si="23"/>
        <v>154.52802269529485</v>
      </c>
      <c r="P25" s="313">
        <f t="shared" ca="1" si="23"/>
        <v>153.20610659178334</v>
      </c>
      <c r="Q25" s="313">
        <f t="shared" ca="1" si="23"/>
        <v>173.91405908764938</v>
      </c>
      <c r="R25" s="313">
        <f t="shared" ca="1" si="23"/>
        <v>206.43507357396081</v>
      </c>
      <c r="S25" s="313">
        <f t="shared" ca="1" si="23"/>
        <v>289.67967282164756</v>
      </c>
      <c r="T25" s="313">
        <f t="shared" ca="1" si="23"/>
        <v>481.87268156672502</v>
      </c>
      <c r="U25" s="313">
        <f t="shared" ca="1" si="23"/>
        <v>4160.8833102375311</v>
      </c>
      <c r="V25" s="313">
        <f t="shared" ca="1" si="23"/>
        <v>-416.67805574599566</v>
      </c>
      <c r="W25" s="313">
        <f t="shared" ca="1" si="23"/>
        <v>-150.2997486205347</v>
      </c>
      <c r="X25" s="313">
        <f t="shared" ca="1" si="23"/>
        <v>-66.910168818691815</v>
      </c>
      <c r="Y25" s="313">
        <f t="shared" ca="1" si="23"/>
        <v>-25.37623694794739</v>
      </c>
      <c r="Z25" s="313">
        <v>0</v>
      </c>
    </row>
    <row r="27" spans="2:26">
      <c r="D27" s="303">
        <f ca="1">D5-D11</f>
        <v>0</v>
      </c>
      <c r="E27" s="303">
        <f t="shared" ref="E27:Z27" ca="1" si="24">E5-E11</f>
        <v>0</v>
      </c>
      <c r="F27" s="303">
        <f t="shared" ca="1" si="24"/>
        <v>0</v>
      </c>
      <c r="G27" s="303">
        <f ca="1">G5-G11</f>
        <v>0</v>
      </c>
      <c r="H27" s="303">
        <f t="shared" ca="1" si="24"/>
        <v>0</v>
      </c>
      <c r="I27" s="303">
        <f t="shared" ca="1" si="24"/>
        <v>0</v>
      </c>
      <c r="J27" s="303">
        <f t="shared" ca="1" si="24"/>
        <v>0</v>
      </c>
      <c r="K27" s="303">
        <f t="shared" ca="1" si="24"/>
        <v>0</v>
      </c>
      <c r="L27" s="303">
        <f t="shared" ca="1" si="24"/>
        <v>0</v>
      </c>
      <c r="M27" s="303">
        <f t="shared" ca="1" si="24"/>
        <v>0</v>
      </c>
      <c r="N27" s="303">
        <f t="shared" ca="1" si="24"/>
        <v>0</v>
      </c>
      <c r="O27" s="303">
        <f t="shared" ca="1" si="24"/>
        <v>0</v>
      </c>
      <c r="P27" s="303">
        <f ca="1">P5-P11</f>
        <v>0</v>
      </c>
      <c r="Q27" s="303">
        <f t="shared" ca="1" si="24"/>
        <v>0</v>
      </c>
      <c r="R27" s="303">
        <f t="shared" ca="1" si="24"/>
        <v>-1.6370904631912708E-11</v>
      </c>
      <c r="S27" s="303">
        <f t="shared" ca="1" si="24"/>
        <v>-2082.5915740317687</v>
      </c>
      <c r="T27" s="303">
        <f t="shared" ca="1" si="24"/>
        <v>-2082.5915740317705</v>
      </c>
      <c r="U27" s="303">
        <f t="shared" ca="1" si="24"/>
        <v>-2082.5915740317705</v>
      </c>
      <c r="V27" s="303">
        <f t="shared" ca="1" si="24"/>
        <v>-2082.5915740317741</v>
      </c>
      <c r="W27" s="303">
        <f t="shared" ca="1" si="24"/>
        <v>-2082.591574031776</v>
      </c>
      <c r="X27" s="303">
        <f t="shared" ca="1" si="24"/>
        <v>-2082.5915740317778</v>
      </c>
      <c r="Y27" s="303">
        <f t="shared" ca="1" si="24"/>
        <v>-2082.5915740317796</v>
      </c>
      <c r="Z27" s="303">
        <f t="shared" ca="1" si="24"/>
        <v>-2082.5915740317796</v>
      </c>
    </row>
  </sheetData>
  <mergeCells count="6">
    <mergeCell ref="G3:Z3"/>
    <mergeCell ref="B24:C24"/>
    <mergeCell ref="B3:B4"/>
    <mergeCell ref="C3:C4"/>
    <mergeCell ref="B23:C23"/>
    <mergeCell ref="D3:F3"/>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7"/>
  <sheetViews>
    <sheetView showGridLines="0" workbookViewId="0">
      <selection activeCell="B2" sqref="B2:Z11"/>
    </sheetView>
  </sheetViews>
  <sheetFormatPr defaultColWidth="10.90625" defaultRowHeight="17.399999999999999"/>
  <cols>
    <col min="1" max="1" width="10.90625" style="28"/>
    <col min="2" max="2" width="11.08984375" style="28" bestFit="1" customWidth="1"/>
    <col min="3" max="3" width="29.08984375" style="28" customWidth="1"/>
    <col min="4" max="6" width="12.453125" style="28" bestFit="1" customWidth="1"/>
    <col min="7" max="19" width="11.08984375" style="28" bestFit="1" customWidth="1"/>
    <col min="20" max="26" width="12.453125" style="28" bestFit="1" customWidth="1"/>
    <col min="27" max="16384" width="10.90625" style="28"/>
  </cols>
  <sheetData>
    <row r="1" spans="2:26" ht="24.9" customHeight="1"/>
    <row r="2" spans="2:26" ht="24.9" customHeight="1">
      <c r="B2" s="621" t="s">
        <v>112</v>
      </c>
      <c r="C2" s="621" t="s">
        <v>153</v>
      </c>
      <c r="D2" s="585" t="s">
        <v>75</v>
      </c>
      <c r="E2" s="585"/>
      <c r="F2" s="585"/>
      <c r="G2" s="585" t="s">
        <v>497</v>
      </c>
      <c r="H2" s="585"/>
      <c r="I2" s="585"/>
      <c r="J2" s="585"/>
      <c r="K2" s="585"/>
      <c r="L2" s="585"/>
      <c r="M2" s="585"/>
      <c r="N2" s="585"/>
      <c r="O2" s="585"/>
      <c r="P2" s="585"/>
      <c r="Q2" s="585"/>
      <c r="R2" s="585"/>
      <c r="S2" s="585"/>
      <c r="T2" s="585"/>
      <c r="U2" s="585"/>
      <c r="V2" s="585"/>
      <c r="W2" s="585"/>
      <c r="X2" s="585"/>
      <c r="Y2" s="585"/>
      <c r="Z2" s="585"/>
    </row>
    <row r="3" spans="2:26" ht="24.9" customHeight="1">
      <c r="B3" s="621"/>
      <c r="C3" s="621"/>
      <c r="D3" s="241">
        <v>1</v>
      </c>
      <c r="E3" s="241">
        <v>2</v>
      </c>
      <c r="F3" s="241">
        <v>3</v>
      </c>
      <c r="G3" s="334">
        <v>4</v>
      </c>
      <c r="H3" s="334">
        <v>5</v>
      </c>
      <c r="I3" s="334">
        <v>6</v>
      </c>
      <c r="J3" s="334">
        <v>7</v>
      </c>
      <c r="K3" s="334">
        <v>8</v>
      </c>
      <c r="L3" s="334">
        <v>9</v>
      </c>
      <c r="M3" s="334">
        <v>10</v>
      </c>
      <c r="N3" s="334">
        <v>11</v>
      </c>
      <c r="O3" s="334">
        <v>12</v>
      </c>
      <c r="P3" s="334">
        <v>13</v>
      </c>
      <c r="Q3" s="334">
        <v>14</v>
      </c>
      <c r="R3" s="334">
        <v>15</v>
      </c>
      <c r="S3" s="334">
        <v>16</v>
      </c>
      <c r="T3" s="334">
        <v>17</v>
      </c>
      <c r="U3" s="334">
        <v>18</v>
      </c>
      <c r="V3" s="334">
        <v>19</v>
      </c>
      <c r="W3" s="334">
        <v>20</v>
      </c>
      <c r="X3" s="334">
        <v>21</v>
      </c>
      <c r="Y3" s="334">
        <v>22</v>
      </c>
      <c r="Z3" s="334">
        <v>23</v>
      </c>
    </row>
    <row r="4" spans="2:26" ht="24.9" customHeight="1">
      <c r="B4" s="25">
        <v>1</v>
      </c>
      <c r="C4" s="110" t="s">
        <v>194</v>
      </c>
      <c r="D4" s="63">
        <f>D5+D6</f>
        <v>0</v>
      </c>
      <c r="E4" s="63">
        <f t="shared" ref="E4:U4" si="0">E5+E6</f>
        <v>0</v>
      </c>
      <c r="F4" s="63">
        <f t="shared" si="0"/>
        <v>0</v>
      </c>
      <c r="G4" s="63">
        <f t="shared" si="0"/>
        <v>0</v>
      </c>
      <c r="H4" s="63">
        <f t="shared" si="0"/>
        <v>0</v>
      </c>
      <c r="I4" s="63">
        <f t="shared" si="0"/>
        <v>0</v>
      </c>
      <c r="J4" s="63">
        <f t="shared" si="0"/>
        <v>0</v>
      </c>
      <c r="K4" s="63">
        <f t="shared" si="0"/>
        <v>0</v>
      </c>
      <c r="L4" s="63">
        <f t="shared" si="0"/>
        <v>0</v>
      </c>
      <c r="M4" s="63">
        <f t="shared" si="0"/>
        <v>0</v>
      </c>
      <c r="N4" s="63">
        <f t="shared" si="0"/>
        <v>0</v>
      </c>
      <c r="O4" s="63">
        <f t="shared" si="0"/>
        <v>0</v>
      </c>
      <c r="P4" s="63">
        <f t="shared" si="0"/>
        <v>0</v>
      </c>
      <c r="Q4" s="63">
        <f t="shared" si="0"/>
        <v>0</v>
      </c>
      <c r="R4" s="63">
        <f t="shared" ca="1" si="0"/>
        <v>-22890.552969785353</v>
      </c>
      <c r="S4" s="63">
        <f t="shared" ca="1" si="0"/>
        <v>-1082.4967114904475</v>
      </c>
      <c r="T4" s="63">
        <f t="shared" ca="1" si="0"/>
        <v>-988.26934471332629</v>
      </c>
      <c r="U4" s="63">
        <f t="shared" ca="1" si="0"/>
        <v>-869.60380261787282</v>
      </c>
      <c r="V4" s="63">
        <f t="shared" ref="V4:Z4" ca="1" si="1">V5+V6</f>
        <v>-745.69929973754063</v>
      </c>
      <c r="W4" s="63">
        <f t="shared" ca="1" si="1"/>
        <v>-613.42107961774377</v>
      </c>
      <c r="X4" s="63">
        <f t="shared" ca="1" si="1"/>
        <v>-473.76167379463328</v>
      </c>
      <c r="Y4" s="63">
        <f t="shared" ca="1" si="1"/>
        <v>-327.76097775648128</v>
      </c>
      <c r="Z4" s="63">
        <f t="shared" ca="1" si="1"/>
        <v>-16891.320410272001</v>
      </c>
    </row>
    <row r="5" spans="2:26" ht="24.9" customHeight="1">
      <c r="B5" s="25">
        <v>1.1000000000000001</v>
      </c>
      <c r="C5" s="110" t="s">
        <v>245</v>
      </c>
      <c r="D5" s="63">
        <f>'9利润与利润分配表'!E22</f>
        <v>0</v>
      </c>
      <c r="E5" s="63">
        <f>'9利润与利润分配表'!F22</f>
        <v>0</v>
      </c>
      <c r="F5" s="63">
        <f>'9利润与利润分配表'!G22</f>
        <v>0</v>
      </c>
      <c r="G5" s="63">
        <f>'9利润与利润分配表'!H22</f>
        <v>0</v>
      </c>
      <c r="H5" s="63">
        <f>'9利润与利润分配表'!I22</f>
        <v>0</v>
      </c>
      <c r="I5" s="63">
        <f>'9利润与利润分配表'!J22</f>
        <v>0</v>
      </c>
      <c r="J5" s="63">
        <f>'9利润与利润分配表'!K22</f>
        <v>0</v>
      </c>
      <c r="K5" s="63">
        <f>'9利润与利润分配表'!L22</f>
        <v>0</v>
      </c>
      <c r="L5" s="63">
        <f>'9利润与利润分配表'!M22</f>
        <v>0</v>
      </c>
      <c r="M5" s="63">
        <f>'9利润与利润分配表'!N22</f>
        <v>0</v>
      </c>
      <c r="N5" s="63">
        <f>'9利润与利润分配表'!O22</f>
        <v>0</v>
      </c>
      <c r="O5" s="63">
        <f>'9利润与利润分配表'!P22</f>
        <v>0</v>
      </c>
      <c r="P5" s="63">
        <f>'9利润与利润分配表'!Q22</f>
        <v>0</v>
      </c>
      <c r="Q5" s="63">
        <f>'9利润与利润分配表'!R22</f>
        <v>0</v>
      </c>
      <c r="R5" s="63">
        <f ca="1">'9利润与利润分配表'!S22</f>
        <v>-22890.552969785353</v>
      </c>
      <c r="S5" s="63">
        <f ca="1">'9利润与利润分配表'!T22</f>
        <v>-1082.4967114904475</v>
      </c>
      <c r="T5" s="63">
        <f ca="1">'9利润与利润分配表'!U22</f>
        <v>-988.26934471332629</v>
      </c>
      <c r="U5" s="63">
        <f ca="1">'9利润与利润分配表'!V22</f>
        <v>-869.60380261787282</v>
      </c>
      <c r="V5" s="63">
        <f ca="1">'9利润与利润分配表'!W22</f>
        <v>-745.69929973754063</v>
      </c>
      <c r="W5" s="63">
        <f ca="1">'9利润与利润分配表'!X22</f>
        <v>-613.42107961774377</v>
      </c>
      <c r="X5" s="63">
        <f ca="1">'9利润与利润分配表'!Y22</f>
        <v>-473.76167379463328</v>
      </c>
      <c r="Y5" s="63">
        <f ca="1">'9利润与利润分配表'!Z22</f>
        <v>-327.76097775648128</v>
      </c>
      <c r="Z5" s="63">
        <f ca="1">'9利润与利润分配表'!AA22</f>
        <v>-172.08060393121127</v>
      </c>
    </row>
    <row r="6" spans="2:26" ht="24.9" customHeight="1">
      <c r="B6" s="25">
        <v>1.2</v>
      </c>
      <c r="C6" s="110" t="s">
        <v>246</v>
      </c>
      <c r="D6" s="63"/>
      <c r="E6" s="63"/>
      <c r="F6" s="63"/>
      <c r="G6" s="63"/>
      <c r="H6" s="63"/>
      <c r="I6" s="63"/>
      <c r="J6" s="63"/>
      <c r="K6" s="63"/>
      <c r="L6" s="63"/>
      <c r="M6" s="63"/>
      <c r="N6" s="63"/>
      <c r="O6" s="63"/>
      <c r="P6" s="63"/>
      <c r="Q6" s="63"/>
      <c r="R6" s="63"/>
      <c r="S6" s="118"/>
      <c r="T6" s="63"/>
      <c r="U6" s="304"/>
      <c r="V6" s="304"/>
      <c r="W6" s="304"/>
      <c r="X6" s="304"/>
      <c r="Y6" s="304"/>
      <c r="Z6" s="304">
        <f ca="1">'13资产负债表'!Z19*85%</f>
        <v>-16719.239806340789</v>
      </c>
    </row>
    <row r="7" spans="2:26" ht="24.9" customHeight="1">
      <c r="B7" s="25">
        <v>2</v>
      </c>
      <c r="C7" s="110" t="s">
        <v>198</v>
      </c>
      <c r="D7" s="63">
        <f ca="1">D8</f>
        <v>4649.298650050303</v>
      </c>
      <c r="E7" s="63">
        <f ca="1">E8</f>
        <v>3486.9739875377268</v>
      </c>
      <c r="F7" s="63">
        <f t="shared" ref="F7" ca="1" si="2">F8</f>
        <v>3486.9739875377268</v>
      </c>
      <c r="G7" s="63">
        <f t="shared" ref="G7" si="3">G8</f>
        <v>0</v>
      </c>
      <c r="H7" s="63">
        <f t="shared" ref="H7:I7" si="4">H8</f>
        <v>0</v>
      </c>
      <c r="I7" s="63">
        <f t="shared" si="4"/>
        <v>0</v>
      </c>
      <c r="J7" s="63">
        <f t="shared" ref="J7" si="5">J8</f>
        <v>0</v>
      </c>
      <c r="K7" s="63">
        <f t="shared" ref="K7:L7" si="6">K8</f>
        <v>0</v>
      </c>
      <c r="L7" s="63">
        <f t="shared" si="6"/>
        <v>0</v>
      </c>
      <c r="M7" s="63">
        <f t="shared" ref="M7" si="7">M8</f>
        <v>0</v>
      </c>
      <c r="N7" s="63">
        <f t="shared" ref="N7:O7" si="8">N8</f>
        <v>0</v>
      </c>
      <c r="O7" s="63">
        <f t="shared" si="8"/>
        <v>0</v>
      </c>
      <c r="P7" s="63">
        <f t="shared" ref="P7" si="9">P8</f>
        <v>0</v>
      </c>
      <c r="Q7" s="63">
        <f t="shared" ref="Q7:R7" si="10">Q8</f>
        <v>0</v>
      </c>
      <c r="R7" s="63">
        <f t="shared" si="10"/>
        <v>0</v>
      </c>
      <c r="S7" s="63">
        <f t="shared" ref="S7" si="11">S8</f>
        <v>0</v>
      </c>
      <c r="T7" s="63">
        <f t="shared" ref="T7:Z7" si="12">T8</f>
        <v>0</v>
      </c>
      <c r="U7" s="63">
        <f t="shared" si="12"/>
        <v>0</v>
      </c>
      <c r="V7" s="63">
        <f t="shared" si="12"/>
        <v>0</v>
      </c>
      <c r="W7" s="63">
        <f t="shared" si="12"/>
        <v>0</v>
      </c>
      <c r="X7" s="63">
        <f t="shared" si="12"/>
        <v>0</v>
      </c>
      <c r="Y7" s="63">
        <f t="shared" si="12"/>
        <v>0</v>
      </c>
      <c r="Z7" s="63">
        <f t="shared" si="12"/>
        <v>0</v>
      </c>
    </row>
    <row r="8" spans="2:26" ht="24.9" customHeight="1">
      <c r="B8" s="25">
        <v>2.1</v>
      </c>
      <c r="C8" s="110" t="s">
        <v>247</v>
      </c>
      <c r="D8" s="63">
        <f ca="1">'2投资计划表'!E13</f>
        <v>4649.298650050303</v>
      </c>
      <c r="E8" s="63">
        <f ca="1">'2投资计划表'!F13</f>
        <v>3486.9739875377268</v>
      </c>
      <c r="F8" s="63">
        <f ca="1">'2投资计划表'!G13</f>
        <v>3486.9739875377268</v>
      </c>
      <c r="G8" s="63"/>
      <c r="H8" s="63"/>
      <c r="I8" s="63"/>
      <c r="J8" s="63"/>
      <c r="K8" s="63"/>
      <c r="L8" s="63"/>
      <c r="M8" s="63"/>
      <c r="N8" s="63"/>
      <c r="O8" s="63"/>
      <c r="P8" s="63"/>
      <c r="Q8" s="63"/>
      <c r="R8" s="63"/>
      <c r="S8" s="118"/>
      <c r="T8" s="118"/>
      <c r="U8" s="196"/>
      <c r="V8" s="196"/>
      <c r="W8" s="196"/>
      <c r="X8" s="196"/>
      <c r="Y8" s="196"/>
      <c r="Z8" s="196"/>
    </row>
    <row r="9" spans="2:26" ht="24.9" customHeight="1">
      <c r="B9" s="119">
        <v>3</v>
      </c>
      <c r="C9" s="120" t="s">
        <v>217</v>
      </c>
      <c r="D9" s="121">
        <f t="shared" ref="D9:U9" ca="1" si="13">D4-D7</f>
        <v>-4649.298650050303</v>
      </c>
      <c r="E9" s="121">
        <f t="shared" ca="1" si="13"/>
        <v>-3486.9739875377268</v>
      </c>
      <c r="F9" s="121">
        <f t="shared" ca="1" si="13"/>
        <v>-3486.9739875377268</v>
      </c>
      <c r="G9" s="345">
        <f t="shared" si="13"/>
        <v>0</v>
      </c>
      <c r="H9" s="345">
        <f t="shared" si="13"/>
        <v>0</v>
      </c>
      <c r="I9" s="345">
        <f t="shared" si="13"/>
        <v>0</v>
      </c>
      <c r="J9" s="345">
        <f t="shared" si="13"/>
        <v>0</v>
      </c>
      <c r="K9" s="345">
        <f t="shared" si="13"/>
        <v>0</v>
      </c>
      <c r="L9" s="345">
        <f t="shared" si="13"/>
        <v>0</v>
      </c>
      <c r="M9" s="345">
        <f t="shared" si="13"/>
        <v>0</v>
      </c>
      <c r="N9" s="345">
        <f t="shared" si="13"/>
        <v>0</v>
      </c>
      <c r="O9" s="345">
        <f t="shared" si="13"/>
        <v>0</v>
      </c>
      <c r="P9" s="345">
        <f t="shared" si="13"/>
        <v>0</v>
      </c>
      <c r="Q9" s="345">
        <f t="shared" si="13"/>
        <v>0</v>
      </c>
      <c r="R9" s="345">
        <f t="shared" ca="1" si="13"/>
        <v>-22890.552969785353</v>
      </c>
      <c r="S9" s="345">
        <f t="shared" ca="1" si="13"/>
        <v>-1082.4967114904475</v>
      </c>
      <c r="T9" s="345">
        <f t="shared" ca="1" si="13"/>
        <v>-988.26934471332629</v>
      </c>
      <c r="U9" s="121">
        <f t="shared" ca="1" si="13"/>
        <v>-869.60380261787282</v>
      </c>
      <c r="V9" s="121">
        <f t="shared" ref="V9:Z9" ca="1" si="14">V4-V7</f>
        <v>-745.69929973754063</v>
      </c>
      <c r="W9" s="121">
        <f t="shared" ca="1" si="14"/>
        <v>-613.42107961774377</v>
      </c>
      <c r="X9" s="121">
        <f t="shared" ca="1" si="14"/>
        <v>-473.76167379463328</v>
      </c>
      <c r="Y9" s="121">
        <f t="shared" ca="1" si="14"/>
        <v>-327.76097775648128</v>
      </c>
      <c r="Z9" s="121">
        <f t="shared" ca="1" si="14"/>
        <v>-16891.320410272001</v>
      </c>
    </row>
    <row r="10" spans="2:26" ht="24.9" customHeight="1">
      <c r="B10" s="624" t="s">
        <v>248</v>
      </c>
      <c r="C10" s="625"/>
      <c r="D10" s="122"/>
      <c r="E10" s="122"/>
      <c r="F10" s="122"/>
      <c r="G10" s="343"/>
      <c r="H10" s="343"/>
      <c r="I10" s="343"/>
      <c r="J10" s="343"/>
      <c r="K10" s="343"/>
      <c r="L10" s="343"/>
      <c r="M10" s="343"/>
      <c r="N10" s="343"/>
      <c r="O10" s="343"/>
      <c r="P10" s="343"/>
      <c r="Q10" s="343"/>
      <c r="R10" s="343"/>
      <c r="S10" s="344"/>
      <c r="T10" s="344"/>
      <c r="U10" s="347"/>
      <c r="V10" s="347"/>
      <c r="W10" s="347"/>
      <c r="X10" s="347"/>
      <c r="Y10" s="347"/>
      <c r="Z10" s="279"/>
    </row>
    <row r="11" spans="2:26" ht="24.9" customHeight="1">
      <c r="B11" s="622" t="s">
        <v>249</v>
      </c>
      <c r="C11" s="623"/>
      <c r="D11" s="124" t="e">
        <f ca="1">IRR(D9:Z9)</f>
        <v>#NUM!</v>
      </c>
      <c r="E11" s="123"/>
      <c r="F11" s="123"/>
      <c r="G11" s="123"/>
      <c r="H11" s="123"/>
      <c r="I11" s="123"/>
      <c r="J11" s="123"/>
      <c r="K11" s="123"/>
      <c r="L11" s="123"/>
      <c r="M11" s="123"/>
      <c r="N11" s="123"/>
      <c r="O11" s="123"/>
      <c r="P11" s="123"/>
      <c r="Q11" s="123"/>
      <c r="R11" s="123"/>
      <c r="S11" s="125"/>
      <c r="T11" s="125"/>
      <c r="U11" s="346"/>
      <c r="V11" s="346"/>
      <c r="W11" s="346"/>
      <c r="X11" s="346"/>
      <c r="Y11" s="346"/>
      <c r="Z11" s="280"/>
    </row>
    <row r="12" spans="2:26" ht="24.9" customHeight="1"/>
    <row r="13" spans="2:26" ht="24.9" customHeight="1"/>
    <row r="14" spans="2:26" ht="24.9" customHeight="1"/>
    <row r="15" spans="2:26" ht="24.9" customHeight="1"/>
    <row r="16" spans="2:26" ht="24.9" customHeight="1"/>
    <row r="17" ht="24.9" customHeight="1"/>
  </sheetData>
  <mergeCells count="6">
    <mergeCell ref="G2:Z2"/>
    <mergeCell ref="B11:C11"/>
    <mergeCell ref="B2:B3"/>
    <mergeCell ref="C2:C3"/>
    <mergeCell ref="B10:C10"/>
    <mergeCell ref="D2:F2"/>
  </mergeCells>
  <phoneticPr fontId="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0"/>
  <sheetViews>
    <sheetView topLeftCell="A13" workbookViewId="0">
      <selection activeCell="D23" sqref="D23"/>
    </sheetView>
  </sheetViews>
  <sheetFormatPr defaultColWidth="11" defaultRowHeight="15.6"/>
  <cols>
    <col min="2" max="2" width="11.08984375" bestFit="1" customWidth="1"/>
    <col min="3" max="3" width="26.6328125" customWidth="1"/>
    <col min="4" max="4" width="12.6328125" bestFit="1" customWidth="1"/>
    <col min="5" max="5" width="12.453125" bestFit="1" customWidth="1"/>
    <col min="6" max="6" width="18.6328125" bestFit="1" customWidth="1"/>
    <col min="7" max="20" width="12.36328125" bestFit="1" customWidth="1"/>
    <col min="21" max="21" width="12.6328125" bestFit="1" customWidth="1"/>
    <col min="22" max="27" width="12.453125" bestFit="1" customWidth="1"/>
  </cols>
  <sheetData>
    <row r="1" spans="2:27" ht="16.2" thickBot="1"/>
    <row r="2" spans="2:27" ht="17.399999999999999">
      <c r="C2" s="181" t="s">
        <v>381</v>
      </c>
      <c r="D2" s="212">
        <v>0.15</v>
      </c>
    </row>
    <row r="3" spans="2:27" ht="17.399999999999999">
      <c r="C3" s="213" t="s">
        <v>382</v>
      </c>
      <c r="D3" s="214">
        <v>0.85</v>
      </c>
    </row>
    <row r="4" spans="2:27" ht="18" thickBot="1">
      <c r="C4" s="182" t="s">
        <v>383</v>
      </c>
      <c r="D4" s="215">
        <v>0.15</v>
      </c>
      <c r="F4" s="216"/>
    </row>
    <row r="5" spans="2:27" ht="24.9" customHeight="1"/>
    <row r="6" spans="2:27" ht="24.9" customHeight="1">
      <c r="B6" s="631" t="s">
        <v>112</v>
      </c>
      <c r="C6" s="631" t="s">
        <v>250</v>
      </c>
      <c r="D6" s="631" t="s">
        <v>85</v>
      </c>
      <c r="E6" s="626" t="s">
        <v>75</v>
      </c>
      <c r="F6" s="627"/>
      <c r="G6" s="628"/>
      <c r="H6" s="505" t="s">
        <v>497</v>
      </c>
      <c r="I6" s="505"/>
      <c r="J6" s="505"/>
      <c r="K6" s="505"/>
      <c r="L6" s="505"/>
      <c r="M6" s="505"/>
      <c r="N6" s="505"/>
      <c r="O6" s="505"/>
      <c r="P6" s="505"/>
      <c r="Q6" s="505"/>
      <c r="R6" s="505"/>
      <c r="S6" s="505"/>
      <c r="T6" s="505"/>
      <c r="U6" s="505"/>
      <c r="V6" s="505"/>
      <c r="W6" s="505"/>
      <c r="X6" s="505"/>
      <c r="Y6" s="505"/>
      <c r="Z6" s="505"/>
      <c r="AA6" s="505"/>
    </row>
    <row r="7" spans="2:27" ht="24.9" customHeight="1">
      <c r="B7" s="631"/>
      <c r="C7" s="631"/>
      <c r="D7" s="631"/>
      <c r="E7" s="243">
        <v>1</v>
      </c>
      <c r="F7" s="243">
        <v>2</v>
      </c>
      <c r="G7" s="243">
        <v>3</v>
      </c>
      <c r="H7" s="243">
        <v>4</v>
      </c>
      <c r="I7" s="243">
        <v>5</v>
      </c>
      <c r="J7" s="243">
        <v>6</v>
      </c>
      <c r="K7" s="243">
        <v>7</v>
      </c>
      <c r="L7" s="243">
        <v>8</v>
      </c>
      <c r="M7" s="243">
        <v>9</v>
      </c>
      <c r="N7" s="243">
        <v>10</v>
      </c>
      <c r="O7" s="243">
        <v>11</v>
      </c>
      <c r="P7" s="243">
        <v>12</v>
      </c>
      <c r="Q7" s="243">
        <v>13</v>
      </c>
      <c r="R7" s="243">
        <v>14</v>
      </c>
      <c r="S7" s="243">
        <v>15</v>
      </c>
      <c r="T7" s="243">
        <v>16</v>
      </c>
      <c r="U7" s="243">
        <v>17</v>
      </c>
      <c r="V7" s="243">
        <v>18</v>
      </c>
      <c r="W7" s="329">
        <v>19</v>
      </c>
      <c r="X7" s="329">
        <v>20</v>
      </c>
      <c r="Y7" s="329">
        <v>21</v>
      </c>
      <c r="Z7" s="329">
        <v>22</v>
      </c>
      <c r="AA7" s="329">
        <v>23</v>
      </c>
    </row>
    <row r="8" spans="2:27" ht="24.9" customHeight="1">
      <c r="B8" s="127" t="s">
        <v>154</v>
      </c>
      <c r="C8" s="126" t="s">
        <v>346</v>
      </c>
      <c r="D8" s="300">
        <f>SUM(E8:AA8)</f>
        <v>39458.110738330375</v>
      </c>
      <c r="E8" s="96">
        <f>E9+E10-E11-E12+E13</f>
        <v>25555.556</v>
      </c>
      <c r="F8" s="96">
        <f t="shared" ref="F8:V8" si="0">F9+F10-F11-F12+F13</f>
        <v>19166.667000000001</v>
      </c>
      <c r="G8" s="96">
        <f t="shared" si="0"/>
        <v>19166.667000000001</v>
      </c>
      <c r="H8" s="96">
        <f t="shared" si="0"/>
        <v>-1063.2753299999999</v>
      </c>
      <c r="I8" s="96">
        <f t="shared" si="0"/>
        <v>-1061.36157</v>
      </c>
      <c r="J8" s="96">
        <f t="shared" si="0"/>
        <v>-1059.4095348000001</v>
      </c>
      <c r="K8" s="96">
        <f t="shared" si="0"/>
        <v>-1115.366625396</v>
      </c>
      <c r="L8" s="96">
        <f t="shared" si="0"/>
        <v>-1113.33572797392</v>
      </c>
      <c r="M8" s="96">
        <f t="shared" si="0"/>
        <v>-1111.2642126033986</v>
      </c>
      <c r="N8" s="96">
        <f t="shared" si="0"/>
        <v>-1169.9968417504665</v>
      </c>
      <c r="O8" s="96">
        <f t="shared" si="0"/>
        <v>-1167.841637158976</v>
      </c>
      <c r="P8" s="96">
        <f t="shared" si="0"/>
        <v>-1165.6433284756554</v>
      </c>
      <c r="Q8" s="96">
        <f t="shared" si="0"/>
        <v>-1227.2889071849186</v>
      </c>
      <c r="R8" s="96">
        <f t="shared" si="0"/>
        <v>-1225.0017868307918</v>
      </c>
      <c r="S8" s="96">
        <f t="shared" si="0"/>
        <v>-1222.6689240695828</v>
      </c>
      <c r="T8" s="96">
        <f t="shared" si="0"/>
        <v>-1287.371650297712</v>
      </c>
      <c r="U8" s="96">
        <f t="shared" si="0"/>
        <v>-1284.9445398809498</v>
      </c>
      <c r="V8" s="96">
        <f t="shared" si="0"/>
        <v>-1282.4688872558527</v>
      </c>
      <c r="W8" s="96">
        <f t="shared" ref="W8:AA8" si="1">W9+W10-W11-W12+W13</f>
        <v>-1350.3800801350442</v>
      </c>
      <c r="X8" s="96">
        <f t="shared" si="1"/>
        <v>-1347.804411143893</v>
      </c>
      <c r="Y8" s="96">
        <f t="shared" si="1"/>
        <v>-1345.1772287729189</v>
      </c>
      <c r="Z8" s="96">
        <f t="shared" si="1"/>
        <v>-1416.4556792391554</v>
      </c>
      <c r="AA8" s="96">
        <f t="shared" si="1"/>
        <v>-1413.7223587003939</v>
      </c>
    </row>
    <row r="9" spans="2:27" ht="24.9" customHeight="1">
      <c r="B9" s="127">
        <v>1</v>
      </c>
      <c r="C9" s="129" t="s">
        <v>251</v>
      </c>
      <c r="D9" s="300">
        <f t="shared" ref="D9:D20" si="2">SUM(E9:AA9)</f>
        <v>63888.89</v>
      </c>
      <c r="E9" s="96">
        <f>'3资产及税金估算表'!E23</f>
        <v>25555.556</v>
      </c>
      <c r="F9" s="96">
        <f>'3资产及税金估算表'!F23</f>
        <v>19166.667000000001</v>
      </c>
      <c r="G9" s="96">
        <f>'3资产及税金估算表'!G23</f>
        <v>19166.667000000001</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0</v>
      </c>
      <c r="AA9" s="96">
        <v>0</v>
      </c>
    </row>
    <row r="10" spans="2:27" ht="24.9" customHeight="1">
      <c r="B10" s="127">
        <v>2</v>
      </c>
      <c r="C10" s="129" t="s">
        <v>160</v>
      </c>
      <c r="D10" s="300">
        <f t="shared" si="2"/>
        <v>2324.9667213188382</v>
      </c>
      <c r="E10" s="96">
        <f>'5政府补贴测算'!G8</f>
        <v>0</v>
      </c>
      <c r="F10" s="96">
        <f>'5政府补贴测算'!H8</f>
        <v>0</v>
      </c>
      <c r="G10" s="96">
        <f>'5政府补贴测算'!I8</f>
        <v>0</v>
      </c>
      <c r="H10" s="96">
        <f>'5政府补贴测算'!J8</f>
        <v>95.687999999999988</v>
      </c>
      <c r="I10" s="96">
        <f>'5政府补贴测算'!K8</f>
        <v>97.601759999999985</v>
      </c>
      <c r="J10" s="96">
        <f>'5政府补贴测算'!L8</f>
        <v>99.553795199999982</v>
      </c>
      <c r="K10" s="96">
        <f>'5政府补贴测算'!M8</f>
        <v>101.54487110399998</v>
      </c>
      <c r="L10" s="96">
        <f>'5政府补贴测算'!N8</f>
        <v>103.57576852607998</v>
      </c>
      <c r="M10" s="96">
        <f>'5政府补贴测算'!O8</f>
        <v>105.64728389660158</v>
      </c>
      <c r="N10" s="96">
        <f>'5政府补贴测算'!P8</f>
        <v>107.76022957453361</v>
      </c>
      <c r="O10" s="96">
        <f>'5政府补贴测算'!Q8</f>
        <v>109.91543416602428</v>
      </c>
      <c r="P10" s="96">
        <f>'5政府补贴测算'!R8</f>
        <v>112.11374284934477</v>
      </c>
      <c r="Q10" s="96">
        <f>'5政府补贴测算'!G14</f>
        <v>114.35601770633167</v>
      </c>
      <c r="R10" s="96">
        <f>'5政府补贴测算'!H14</f>
        <v>116.64313806045831</v>
      </c>
      <c r="S10" s="96">
        <f>'5政府补贴测算'!I14</f>
        <v>118.97600082166748</v>
      </c>
      <c r="T10" s="96">
        <f>'5政府补贴测算'!J14</f>
        <v>121.35552083810083</v>
      </c>
      <c r="U10" s="96">
        <f>'5政府补贴测算'!K14</f>
        <v>123.78263125486285</v>
      </c>
      <c r="V10" s="96">
        <f>'5政府补贴测算'!L14</f>
        <v>126.2582838799601</v>
      </c>
      <c r="W10" s="96">
        <f>'5政府补贴测算'!M14</f>
        <v>128.78344955755929</v>
      </c>
      <c r="X10" s="96">
        <f>'5政府补贴测算'!N14</f>
        <v>131.35911854871048</v>
      </c>
      <c r="Y10" s="96">
        <f>'5政府补贴测算'!O14</f>
        <v>133.98630091968471</v>
      </c>
      <c r="Z10" s="96">
        <f>'5政府补贴测算'!P14</f>
        <v>136.6660269380784</v>
      </c>
      <c r="AA10" s="96">
        <f>'5政府补贴测算'!Q14</f>
        <v>139.39934747683998</v>
      </c>
    </row>
    <row r="11" spans="2:27" ht="24.9" customHeight="1">
      <c r="B11" s="127">
        <v>3</v>
      </c>
      <c r="C11" s="129" t="s">
        <v>252</v>
      </c>
      <c r="D11" s="300"/>
      <c r="E11" s="301"/>
      <c r="F11" s="96"/>
      <c r="G11" s="301"/>
      <c r="H11" s="301"/>
      <c r="I11" s="301"/>
      <c r="J11" s="301"/>
      <c r="K11" s="301"/>
      <c r="L11" s="301"/>
      <c r="M11" s="301"/>
      <c r="N11" s="301"/>
      <c r="O11" s="301"/>
      <c r="P11" s="301"/>
      <c r="Q11" s="301"/>
      <c r="R11" s="301"/>
      <c r="S11" s="301"/>
      <c r="T11" s="301"/>
      <c r="U11" s="301"/>
      <c r="V11" s="291"/>
      <c r="W11" s="327"/>
      <c r="X11" s="327"/>
      <c r="Y11" s="327"/>
      <c r="Z11" s="327"/>
      <c r="AA11" s="327"/>
    </row>
    <row r="12" spans="2:27" ht="24.9" customHeight="1">
      <c r="B12" s="127">
        <v>4</v>
      </c>
      <c r="C12" s="129" t="s">
        <v>253</v>
      </c>
      <c r="D12" s="300">
        <f t="shared" si="2"/>
        <v>26755.745982988465</v>
      </c>
      <c r="E12" s="96">
        <f>'5政府补贴测算'!G9</f>
        <v>0</v>
      </c>
      <c r="F12" s="96">
        <f>'5政府补贴测算'!H9</f>
        <v>0</v>
      </c>
      <c r="G12" s="96">
        <f>'5政府补贴测算'!I9</f>
        <v>0</v>
      </c>
      <c r="H12" s="96">
        <f>'5政府补贴测算'!J9</f>
        <v>1158.96333</v>
      </c>
      <c r="I12" s="96">
        <f>'5政府补贴测算'!K9</f>
        <v>1158.96333</v>
      </c>
      <c r="J12" s="96">
        <f>'5政府补贴测算'!L9</f>
        <v>1158.96333</v>
      </c>
      <c r="K12" s="96">
        <f>'5政府补贴测算'!M9</f>
        <v>1216.9114965000001</v>
      </c>
      <c r="L12" s="96">
        <f>'5政府补贴测算'!N9</f>
        <v>1216.9114965000001</v>
      </c>
      <c r="M12" s="96">
        <f>'5政府补贴测算'!O9</f>
        <v>1216.9114965000001</v>
      </c>
      <c r="N12" s="96">
        <f>'5政府补贴测算'!P9</f>
        <v>1277.7570713250002</v>
      </c>
      <c r="O12" s="96">
        <f>'5政府补贴测算'!Q9</f>
        <v>1277.7570713250002</v>
      </c>
      <c r="P12" s="96">
        <f>'5政府补贴测算'!R9</f>
        <v>1277.7570713250002</v>
      </c>
      <c r="Q12" s="96">
        <f>'5政府补贴测算'!G15</f>
        <v>1341.6449248912502</v>
      </c>
      <c r="R12" s="96">
        <f>'5政府补贴测算'!H15</f>
        <v>1341.6449248912502</v>
      </c>
      <c r="S12" s="96">
        <f>'5政府补贴测算'!I15</f>
        <v>1341.6449248912502</v>
      </c>
      <c r="T12" s="96">
        <f>'5政府补贴测算'!J15</f>
        <v>1408.7271711358128</v>
      </c>
      <c r="U12" s="96">
        <f>'5政府补贴测算'!K15</f>
        <v>1408.7271711358128</v>
      </c>
      <c r="V12" s="96">
        <f>'5政府补贴测算'!L15</f>
        <v>1408.7271711358128</v>
      </c>
      <c r="W12" s="96">
        <f>'5政府补贴测算'!M15</f>
        <v>1479.1635296926036</v>
      </c>
      <c r="X12" s="96">
        <f>'5政府补贴测算'!N15</f>
        <v>1479.1635296926036</v>
      </c>
      <c r="Y12" s="96">
        <f>'5政府补贴测算'!O15</f>
        <v>1479.1635296926036</v>
      </c>
      <c r="Z12" s="96">
        <f>'5政府补贴测算'!P15</f>
        <v>1553.1217061772338</v>
      </c>
      <c r="AA12" s="96">
        <f>'5政府补贴测算'!Q15</f>
        <v>1553.1217061772338</v>
      </c>
    </row>
    <row r="13" spans="2:27" ht="24.9" customHeight="1">
      <c r="B13" s="127">
        <v>5</v>
      </c>
      <c r="C13" s="129" t="s">
        <v>254</v>
      </c>
      <c r="D13" s="300"/>
      <c r="E13" s="96"/>
      <c r="F13" s="96"/>
      <c r="G13" s="301"/>
      <c r="H13" s="301"/>
      <c r="I13" s="301"/>
      <c r="J13" s="301"/>
      <c r="K13" s="301"/>
      <c r="L13" s="301"/>
      <c r="M13" s="301"/>
      <c r="N13" s="301"/>
      <c r="O13" s="301"/>
      <c r="P13" s="301"/>
      <c r="Q13" s="301"/>
      <c r="R13" s="301"/>
      <c r="S13" s="301"/>
      <c r="T13" s="301"/>
      <c r="U13" s="301"/>
      <c r="V13" s="291"/>
      <c r="W13" s="327"/>
      <c r="X13" s="327"/>
      <c r="Y13" s="327"/>
      <c r="Z13" s="327"/>
      <c r="AA13" s="327"/>
    </row>
    <row r="14" spans="2:27" ht="24.9" customHeight="1">
      <c r="B14" s="127" t="s">
        <v>103</v>
      </c>
      <c r="C14" s="126" t="s">
        <v>255</v>
      </c>
      <c r="D14" s="300">
        <f t="shared" ca="1" si="2"/>
        <v>-4076.6057471890576</v>
      </c>
      <c r="E14" s="96">
        <f>E15+E16+E17</f>
        <v>0</v>
      </c>
      <c r="F14" s="96">
        <f t="shared" ref="F14:V14" si="3">F15+F16+F17</f>
        <v>0</v>
      </c>
      <c r="G14" s="96">
        <f t="shared" si="3"/>
        <v>0</v>
      </c>
      <c r="H14" s="96">
        <f t="shared" ca="1" si="3"/>
        <v>0</v>
      </c>
      <c r="I14" s="96">
        <f t="shared" ca="1" si="3"/>
        <v>3.4117318901094067</v>
      </c>
      <c r="J14" s="96">
        <f t="shared" ca="1" si="3"/>
        <v>3.4136456501094066</v>
      </c>
      <c r="K14" s="96">
        <f t="shared" ca="1" si="3"/>
        <v>3.4155976853094066</v>
      </c>
      <c r="L14" s="96">
        <f t="shared" ca="1" si="3"/>
        <v>3.4175887612134068</v>
      </c>
      <c r="M14" s="96">
        <f t="shared" ca="1" si="3"/>
        <v>3.4196196586354866</v>
      </c>
      <c r="N14" s="96">
        <f t="shared" ca="1" si="3"/>
        <v>3.4216911740060079</v>
      </c>
      <c r="O14" s="96">
        <f t="shared" ca="1" si="3"/>
        <v>3.4238041196839406</v>
      </c>
      <c r="P14" s="96">
        <f t="shared" ca="1" si="3"/>
        <v>3.4259593242754307</v>
      </c>
      <c r="Q14" s="96">
        <f t="shared" ca="1" si="3"/>
        <v>-3041.0784699572828</v>
      </c>
      <c r="R14" s="96">
        <f t="shared" ca="1" si="3"/>
        <v>-473.82968600103266</v>
      </c>
      <c r="S14" s="96">
        <f t="shared" ca="1" si="3"/>
        <v>-436.48388021314554</v>
      </c>
      <c r="T14" s="96">
        <f t="shared" ca="1" si="3"/>
        <v>-397.48968806849399</v>
      </c>
      <c r="U14" s="96">
        <f t="shared" ca="1" si="3"/>
        <v>-111.39664818102165</v>
      </c>
      <c r="V14" s="96">
        <f t="shared" ca="1" si="3"/>
        <v>-67.444020294511006</v>
      </c>
      <c r="W14" s="96">
        <f t="shared" ref="W14:AA14" ca="1" si="4">W15+W16+W17</f>
        <v>-19.502639700769464</v>
      </c>
      <c r="X14" s="96">
        <f t="shared" ca="1" si="4"/>
        <v>29.491818842610655</v>
      </c>
      <c r="Y14" s="96">
        <f t="shared" ca="1" si="4"/>
        <v>81.220100372013064</v>
      </c>
      <c r="Z14" s="96">
        <f t="shared" ca="1" si="4"/>
        <v>137.44782515507598</v>
      </c>
      <c r="AA14" s="96">
        <f t="shared" ca="1" si="4"/>
        <v>195.10990259415732</v>
      </c>
    </row>
    <row r="15" spans="2:27" ht="24.9" customHeight="1">
      <c r="B15" s="127">
        <v>1</v>
      </c>
      <c r="C15" s="129" t="s">
        <v>256</v>
      </c>
      <c r="D15" s="300">
        <f t="shared" ca="1" si="2"/>
        <v>1582.9327879549965</v>
      </c>
      <c r="E15" s="96">
        <f>'8税金及附加'!F5</f>
        <v>0</v>
      </c>
      <c r="F15" s="96">
        <f>'8税金及附加'!G5</f>
        <v>0</v>
      </c>
      <c r="G15" s="96">
        <f>'8税金及附加'!H5</f>
        <v>0</v>
      </c>
      <c r="H15" s="96">
        <f ca="1">'8税金及附加'!I5</f>
        <v>0</v>
      </c>
      <c r="I15" s="96">
        <f ca="1">'8税金及附加'!J5</f>
        <v>0</v>
      </c>
      <c r="J15" s="96">
        <f ca="1">'8税金及附加'!K5</f>
        <v>0</v>
      </c>
      <c r="K15" s="96">
        <f ca="1">'8税金及附加'!L5</f>
        <v>0</v>
      </c>
      <c r="L15" s="96">
        <f ca="1">'8税金及附加'!M5</f>
        <v>0</v>
      </c>
      <c r="M15" s="96">
        <f ca="1">'8税金及附加'!N5</f>
        <v>0</v>
      </c>
      <c r="N15" s="96">
        <f ca="1">'8税金及附加'!O5</f>
        <v>0</v>
      </c>
      <c r="O15" s="96">
        <f ca="1">'8税金及附加'!P5</f>
        <v>0</v>
      </c>
      <c r="P15" s="96">
        <f ca="1">'8税金及附加'!Q5</f>
        <v>0</v>
      </c>
      <c r="Q15" s="96">
        <f ca="1">'8税金及附加'!R5</f>
        <v>0</v>
      </c>
      <c r="R15" s="96">
        <f ca="1">'8税金及附加'!S5</f>
        <v>0</v>
      </c>
      <c r="S15" s="96">
        <f ca="1">'8税金及附加'!T5</f>
        <v>0</v>
      </c>
      <c r="T15" s="96">
        <f ca="1">'8税金及附加'!U5</f>
        <v>0</v>
      </c>
      <c r="U15" s="96">
        <f ca="1">'8税金及附加'!V5</f>
        <v>224.27824610284711</v>
      </c>
      <c r="V15" s="96">
        <f ca="1">'8税金及附加'!W5</f>
        <v>224.27824610284711</v>
      </c>
      <c r="W15" s="96">
        <f ca="1">'8税金及附加'!X5</f>
        <v>226.10712853032135</v>
      </c>
      <c r="X15" s="96">
        <f ca="1">'8税金及附加'!Y5</f>
        <v>226.10712853032132</v>
      </c>
      <c r="Y15" s="96">
        <f ca="1">'8税金及附加'!Z5</f>
        <v>226.10712853032135</v>
      </c>
      <c r="Z15" s="96">
        <f ca="1">'8税金及附加'!AA5</f>
        <v>228.02745507916927</v>
      </c>
      <c r="AA15" s="96">
        <f ca="1">'8税金及附加'!AB5</f>
        <v>228.02745507916927</v>
      </c>
    </row>
    <row r="16" spans="2:27" ht="24.9" customHeight="1">
      <c r="B16" s="127">
        <v>2</v>
      </c>
      <c r="C16" s="129" t="s">
        <v>257</v>
      </c>
      <c r="D16" s="300">
        <f t="shared" ca="1" si="2"/>
        <v>255.14233584052036</v>
      </c>
      <c r="E16" s="96">
        <f>'8税金及附加'!F13</f>
        <v>0</v>
      </c>
      <c r="F16" s="96">
        <f>'8税金及附加'!G13</f>
        <v>0</v>
      </c>
      <c r="G16" s="96">
        <f>'8税金及附加'!H13</f>
        <v>0</v>
      </c>
      <c r="H16" s="96">
        <f ca="1">'8税金及附加'!I13</f>
        <v>0</v>
      </c>
      <c r="I16" s="96">
        <f ca="1">'8税金及附加'!J13</f>
        <v>3.4117318901094067</v>
      </c>
      <c r="J16" s="96">
        <f ca="1">'8税金及附加'!K13</f>
        <v>3.4136456501094066</v>
      </c>
      <c r="K16" s="96">
        <f ca="1">'8税金及附加'!L13</f>
        <v>3.4155976853094066</v>
      </c>
      <c r="L16" s="96">
        <f ca="1">'8税金及附加'!M13</f>
        <v>3.4175887612134068</v>
      </c>
      <c r="M16" s="96">
        <f ca="1">'8税金及附加'!N13</f>
        <v>3.4196196586354866</v>
      </c>
      <c r="N16" s="96">
        <f ca="1">'8税金及附加'!O13</f>
        <v>3.4216911740060079</v>
      </c>
      <c r="O16" s="96">
        <f ca="1">'8税金及附加'!P13</f>
        <v>3.4238041196839406</v>
      </c>
      <c r="P16" s="96">
        <f ca="1">'8税金及附加'!Q13</f>
        <v>3.4259593242754307</v>
      </c>
      <c r="Q16" s="96">
        <f ca="1">'8税金及附加'!R13</f>
        <v>3.4281576329587518</v>
      </c>
      <c r="R16" s="96">
        <f ca="1">'8税金及附加'!S13</f>
        <v>3.4303999078157386</v>
      </c>
      <c r="S16" s="96">
        <f ca="1">'8税金及附加'!T13</f>
        <v>3.4326870281698647</v>
      </c>
      <c r="T16" s="96">
        <f ca="1">'8税金及附加'!U13</f>
        <v>3.4350198909310747</v>
      </c>
      <c r="U16" s="96">
        <f ca="1">'8税金及附加'!V13</f>
        <v>30.35078894328916</v>
      </c>
      <c r="V16" s="96">
        <f ca="1">'8税金及附加'!W13</f>
        <v>30.353216053705925</v>
      </c>
      <c r="W16" s="96">
        <f ca="1">'8税金及附加'!X13</f>
        <v>30.575157597627928</v>
      </c>
      <c r="X16" s="96">
        <f ca="1">'8税金及附加'!Y13</f>
        <v>30.577682763305525</v>
      </c>
      <c r="Y16" s="96">
        <f ca="1">'8税金及附加'!Z13</f>
        <v>30.580258432296677</v>
      </c>
      <c r="Z16" s="96">
        <f ca="1">'8税金及附加'!AA13</f>
        <v>30.813324800529408</v>
      </c>
      <c r="AA16" s="96">
        <f ca="1">'8税金及附加'!AB13</f>
        <v>30.8160045265478</v>
      </c>
    </row>
    <row r="17" spans="2:27" ht="24.9" customHeight="1">
      <c r="B17" s="127">
        <v>3</v>
      </c>
      <c r="C17" s="129" t="s">
        <v>186</v>
      </c>
      <c r="D17" s="300">
        <f t="shared" ca="1" si="2"/>
        <v>-5914.6808709845745</v>
      </c>
      <c r="E17" s="96">
        <f>'9利润与利润分配表'!E18</f>
        <v>0</v>
      </c>
      <c r="F17" s="96">
        <f>'9利润与利润分配表'!F18</f>
        <v>0</v>
      </c>
      <c r="G17" s="96">
        <f>'9利润与利润分配表'!G18</f>
        <v>0</v>
      </c>
      <c r="H17" s="96">
        <f>'9利润与利润分配表'!H18</f>
        <v>0</v>
      </c>
      <c r="I17" s="96">
        <f>'9利润与利润分配表'!I18</f>
        <v>0</v>
      </c>
      <c r="J17" s="96">
        <f>'9利润与利润分配表'!J18</f>
        <v>0</v>
      </c>
      <c r="K17" s="96">
        <f>'9利润与利润分配表'!K18</f>
        <v>0</v>
      </c>
      <c r="L17" s="96">
        <f>'9利润与利润分配表'!L18</f>
        <v>0</v>
      </c>
      <c r="M17" s="96">
        <f>'9利润与利润分配表'!M18</f>
        <v>0</v>
      </c>
      <c r="N17" s="96">
        <f>'9利润与利润分配表'!N18</f>
        <v>0</v>
      </c>
      <c r="O17" s="96">
        <f>'9利润与利润分配表'!O18</f>
        <v>0</v>
      </c>
      <c r="P17" s="96">
        <f>'9利润与利润分配表'!P18</f>
        <v>0</v>
      </c>
      <c r="Q17" s="96">
        <f ca="1">'9利润与利润分配表'!Q18</f>
        <v>-3044.5066275902414</v>
      </c>
      <c r="R17" s="96">
        <f ca="1">'9利润与利润分配表'!R18</f>
        <v>-477.2600859088484</v>
      </c>
      <c r="S17" s="96">
        <f ca="1">'9利润与利润分配表'!S18</f>
        <v>-439.91656724131542</v>
      </c>
      <c r="T17" s="96">
        <f ca="1">'9利润与利润分配表'!T18</f>
        <v>-400.92470795942506</v>
      </c>
      <c r="U17" s="96">
        <f ca="1">'9利润与利润分配表'!U18</f>
        <v>-366.02568322715791</v>
      </c>
      <c r="V17" s="96">
        <f ca="1">'9利润与利润分配表'!V18</f>
        <v>-322.07548245106403</v>
      </c>
      <c r="W17" s="96">
        <f ca="1">'9利润与利润分配表'!W18</f>
        <v>-276.18492582871875</v>
      </c>
      <c r="X17" s="96">
        <f ca="1">'9利润与利润分配表'!X18</f>
        <v>-227.19299245101621</v>
      </c>
      <c r="Y17" s="96">
        <f ca="1">'9利润与利润分配表'!Y18</f>
        <v>-175.46728659060494</v>
      </c>
      <c r="Z17" s="96">
        <f ca="1">'9利润与利润分配表'!Z18</f>
        <v>-121.3929547246227</v>
      </c>
      <c r="AA17" s="96">
        <f ca="1">'9利润与利润分配表'!AA18</f>
        <v>-63.733557011559732</v>
      </c>
    </row>
    <row r="18" spans="2:27" ht="24.9" customHeight="1">
      <c r="B18" s="127" t="s">
        <v>187</v>
      </c>
      <c r="C18" s="126" t="s">
        <v>258</v>
      </c>
      <c r="D18" s="300">
        <f t="shared" si="2"/>
        <v>9932.0785081978247</v>
      </c>
      <c r="E18" s="96">
        <f>(E10+E9+E13)*$D$2</f>
        <v>3833.3334</v>
      </c>
      <c r="F18" s="96">
        <f t="shared" ref="F18:V18" si="5">(F10+F9+F13)*$D$2</f>
        <v>2875.0000500000001</v>
      </c>
      <c r="G18" s="96">
        <f t="shared" si="5"/>
        <v>2875.0000500000001</v>
      </c>
      <c r="H18" s="96">
        <f t="shared" si="5"/>
        <v>14.353199999999998</v>
      </c>
      <c r="I18" s="96">
        <f t="shared" si="5"/>
        <v>14.640263999999997</v>
      </c>
      <c r="J18" s="96">
        <f t="shared" si="5"/>
        <v>14.933069279999996</v>
      </c>
      <c r="K18" s="96">
        <f t="shared" si="5"/>
        <v>15.231730665599997</v>
      </c>
      <c r="L18" s="96">
        <f t="shared" si="5"/>
        <v>15.536365278911997</v>
      </c>
      <c r="M18" s="96">
        <f t="shared" si="5"/>
        <v>15.847092584490236</v>
      </c>
      <c r="N18" s="96">
        <f t="shared" si="5"/>
        <v>16.164034436180042</v>
      </c>
      <c r="O18" s="96">
        <f t="shared" si="5"/>
        <v>16.487315124903642</v>
      </c>
      <c r="P18" s="96">
        <f t="shared" si="5"/>
        <v>16.817061427401715</v>
      </c>
      <c r="Q18" s="96">
        <f t="shared" si="5"/>
        <v>17.153402655949751</v>
      </c>
      <c r="R18" s="96">
        <f t="shared" si="5"/>
        <v>17.496470709068745</v>
      </c>
      <c r="S18" s="96">
        <f t="shared" si="5"/>
        <v>17.84640012325012</v>
      </c>
      <c r="T18" s="96">
        <f t="shared" si="5"/>
        <v>18.203328125715124</v>
      </c>
      <c r="U18" s="96">
        <f t="shared" si="5"/>
        <v>18.567394688229427</v>
      </c>
      <c r="V18" s="96">
        <f t="shared" si="5"/>
        <v>18.938742581994013</v>
      </c>
      <c r="W18" s="96">
        <f t="shared" ref="W18:AA18" si="6">(W10+W9+W13)*$D$2</f>
        <v>19.317517433633892</v>
      </c>
      <c r="X18" s="96">
        <f t="shared" si="6"/>
        <v>19.70386778230657</v>
      </c>
      <c r="Y18" s="96">
        <f t="shared" si="6"/>
        <v>20.097945137952706</v>
      </c>
      <c r="Z18" s="96">
        <f t="shared" si="6"/>
        <v>20.499904040711758</v>
      </c>
      <c r="AA18" s="96">
        <f t="shared" si="6"/>
        <v>20.909902121525995</v>
      </c>
    </row>
    <row r="19" spans="2:27" ht="24.9" customHeight="1">
      <c r="B19" s="127">
        <v>1</v>
      </c>
      <c r="C19" s="129" t="s">
        <v>259</v>
      </c>
      <c r="D19" s="300">
        <f t="shared" si="2"/>
        <v>8442.2667319681495</v>
      </c>
      <c r="E19" s="96">
        <f>E18*$D$3</f>
        <v>3258.3333899999998</v>
      </c>
      <c r="F19" s="96">
        <f t="shared" ref="F19:V19" si="7">F18*$D$3</f>
        <v>2443.7500424999998</v>
      </c>
      <c r="G19" s="96">
        <f t="shared" si="7"/>
        <v>2443.7500424999998</v>
      </c>
      <c r="H19" s="96">
        <f t="shared" si="7"/>
        <v>12.200219999999998</v>
      </c>
      <c r="I19" s="96">
        <f t="shared" si="7"/>
        <v>12.444224399999996</v>
      </c>
      <c r="J19" s="96">
        <f t="shared" si="7"/>
        <v>12.693108887999996</v>
      </c>
      <c r="K19" s="96">
        <f t="shared" si="7"/>
        <v>12.946971065759998</v>
      </c>
      <c r="L19" s="96">
        <f t="shared" si="7"/>
        <v>13.205910487075197</v>
      </c>
      <c r="M19" s="96">
        <f t="shared" si="7"/>
        <v>13.4700286968167</v>
      </c>
      <c r="N19" s="96">
        <f t="shared" si="7"/>
        <v>13.739429270753035</v>
      </c>
      <c r="O19" s="96">
        <f t="shared" si="7"/>
        <v>14.014217856168095</v>
      </c>
      <c r="P19" s="96">
        <f t="shared" si="7"/>
        <v>14.294502213291457</v>
      </c>
      <c r="Q19" s="96">
        <f t="shared" si="7"/>
        <v>14.580392257557287</v>
      </c>
      <c r="R19" s="96">
        <f t="shared" si="7"/>
        <v>14.872000102708434</v>
      </c>
      <c r="S19" s="96">
        <f t="shared" si="7"/>
        <v>15.169440104762602</v>
      </c>
      <c r="T19" s="96">
        <f t="shared" si="7"/>
        <v>15.472828906857856</v>
      </c>
      <c r="U19" s="96">
        <f t="shared" si="7"/>
        <v>15.782285484995013</v>
      </c>
      <c r="V19" s="96">
        <f t="shared" si="7"/>
        <v>16.097931194694912</v>
      </c>
      <c r="W19" s="96">
        <f t="shared" ref="W19:AA19" si="8">W18*$D$3</f>
        <v>16.419889818588807</v>
      </c>
      <c r="X19" s="96">
        <f t="shared" si="8"/>
        <v>16.748287614960585</v>
      </c>
      <c r="Y19" s="96">
        <f t="shared" si="8"/>
        <v>17.0832533672598</v>
      </c>
      <c r="Z19" s="96">
        <f t="shared" si="8"/>
        <v>17.424918434604994</v>
      </c>
      <c r="AA19" s="96">
        <f t="shared" si="8"/>
        <v>17.773416803297096</v>
      </c>
    </row>
    <row r="20" spans="2:27" ht="24.9" customHeight="1">
      <c r="B20" s="127">
        <v>2</v>
      </c>
      <c r="C20" s="129" t="s">
        <v>260</v>
      </c>
      <c r="D20" s="300">
        <f t="shared" si="2"/>
        <v>1489.811776229674</v>
      </c>
      <c r="E20" s="96">
        <f>E18*$D$4</f>
        <v>575.00000999999997</v>
      </c>
      <c r="F20" s="96">
        <f t="shared" ref="F20:V20" si="9">F18*$D$4</f>
        <v>431.25000749999998</v>
      </c>
      <c r="G20" s="96">
        <f t="shared" si="9"/>
        <v>431.25000749999998</v>
      </c>
      <c r="H20" s="96">
        <f t="shared" si="9"/>
        <v>2.1529799999999994</v>
      </c>
      <c r="I20" s="96">
        <f t="shared" si="9"/>
        <v>2.1960395999999993</v>
      </c>
      <c r="J20" s="96">
        <f t="shared" si="9"/>
        <v>2.2399603919999995</v>
      </c>
      <c r="K20" s="96">
        <f t="shared" si="9"/>
        <v>2.2847595998399997</v>
      </c>
      <c r="L20" s="96">
        <f t="shared" si="9"/>
        <v>2.3304547918367997</v>
      </c>
      <c r="M20" s="96">
        <f t="shared" si="9"/>
        <v>2.3770638876735353</v>
      </c>
      <c r="N20" s="96">
        <f t="shared" si="9"/>
        <v>2.4246051654270064</v>
      </c>
      <c r="O20" s="96">
        <f t="shared" si="9"/>
        <v>2.4730972687355464</v>
      </c>
      <c r="P20" s="96">
        <f t="shared" si="9"/>
        <v>2.5225592141102573</v>
      </c>
      <c r="Q20" s="96">
        <f t="shared" si="9"/>
        <v>2.5730103983924626</v>
      </c>
      <c r="R20" s="96">
        <f t="shared" si="9"/>
        <v>2.6244706063603118</v>
      </c>
      <c r="S20" s="96">
        <f t="shared" si="9"/>
        <v>2.676960018487518</v>
      </c>
      <c r="T20" s="96">
        <f t="shared" si="9"/>
        <v>2.7304992188572688</v>
      </c>
      <c r="U20" s="96">
        <f t="shared" si="9"/>
        <v>2.785109203234414</v>
      </c>
      <c r="V20" s="96">
        <f t="shared" si="9"/>
        <v>2.8408113872991021</v>
      </c>
      <c r="W20" s="96">
        <f t="shared" ref="W20:AA20" si="10">W18*$D$4</f>
        <v>2.8976276150450837</v>
      </c>
      <c r="X20" s="96">
        <f t="shared" si="10"/>
        <v>2.9555801673459854</v>
      </c>
      <c r="Y20" s="96">
        <f t="shared" si="10"/>
        <v>3.0146917706929059</v>
      </c>
      <c r="Z20" s="96">
        <f t="shared" si="10"/>
        <v>3.0749856061067637</v>
      </c>
      <c r="AA20" s="96">
        <f t="shared" si="10"/>
        <v>3.1364853182288992</v>
      </c>
    </row>
    <row r="21" spans="2:27" ht="24.9" customHeight="1">
      <c r="B21" s="130" t="s">
        <v>165</v>
      </c>
      <c r="C21" s="130" t="s">
        <v>347</v>
      </c>
      <c r="D21" s="300">
        <f ca="1">SUM(E21:AA21)</f>
        <v>45313.583499339133</v>
      </c>
      <c r="E21" s="302">
        <f>E8+E14+E18</f>
        <v>29388.8894</v>
      </c>
      <c r="F21" s="302">
        <f t="shared" ref="F21:V21" si="11">F8+F14+F18</f>
        <v>22041.66705</v>
      </c>
      <c r="G21" s="302">
        <f t="shared" si="11"/>
        <v>22041.66705</v>
      </c>
      <c r="H21" s="302">
        <f t="shared" ca="1" si="11"/>
        <v>-1048.9221299999999</v>
      </c>
      <c r="I21" s="302">
        <f t="shared" ca="1" si="11"/>
        <v>-1043.3095741098907</v>
      </c>
      <c r="J21" s="302">
        <f t="shared" ca="1" si="11"/>
        <v>-1041.0628198698907</v>
      </c>
      <c r="K21" s="302">
        <f t="shared" ca="1" si="11"/>
        <v>-1096.7192970450906</v>
      </c>
      <c r="L21" s="302">
        <f t="shared" ca="1" si="11"/>
        <v>-1094.3817739337946</v>
      </c>
      <c r="M21" s="302">
        <f t="shared" ca="1" si="11"/>
        <v>-1091.9975003602731</v>
      </c>
      <c r="N21" s="302">
        <f t="shared" ca="1" si="11"/>
        <v>-1150.4111161402805</v>
      </c>
      <c r="O21" s="302">
        <f t="shared" ca="1" si="11"/>
        <v>-1147.9305179143885</v>
      </c>
      <c r="P21" s="302">
        <f t="shared" ca="1" si="11"/>
        <v>-1145.4003077239781</v>
      </c>
      <c r="Q21" s="302">
        <f t="shared" ca="1" si="11"/>
        <v>-4251.2139744862525</v>
      </c>
      <c r="R21" s="302">
        <f t="shared" ca="1" si="11"/>
        <v>-1681.3350021227559</v>
      </c>
      <c r="S21" s="302">
        <f t="shared" ca="1" si="11"/>
        <v>-1641.3064041594782</v>
      </c>
      <c r="T21" s="302">
        <f t="shared" ca="1" si="11"/>
        <v>-1666.6580102404907</v>
      </c>
      <c r="U21" s="302">
        <f t="shared" ca="1" si="11"/>
        <v>-1377.7737933737421</v>
      </c>
      <c r="V21" s="302">
        <f t="shared" ca="1" si="11"/>
        <v>-1330.9741649683697</v>
      </c>
      <c r="W21" s="302">
        <f t="shared" ref="W21:AA21" ca="1" si="12">W8+W14+W18</f>
        <v>-1350.5652024021797</v>
      </c>
      <c r="X21" s="302">
        <f t="shared" ca="1" si="12"/>
        <v>-1298.6087245189758</v>
      </c>
      <c r="Y21" s="302">
        <f t="shared" ca="1" si="12"/>
        <v>-1243.8591832629531</v>
      </c>
      <c r="Z21" s="302">
        <f t="shared" ca="1" si="12"/>
        <v>-1258.5079500433678</v>
      </c>
      <c r="AA21" s="302">
        <f t="shared" ca="1" si="12"/>
        <v>-1197.7025539847104</v>
      </c>
    </row>
    <row r="22" spans="2:27" ht="24.9" customHeight="1">
      <c r="B22" s="632" t="s">
        <v>248</v>
      </c>
      <c r="C22" s="633"/>
      <c r="D22" s="131"/>
      <c r="E22" s="132"/>
      <c r="F22" s="132"/>
      <c r="G22" s="133"/>
      <c r="H22" s="133"/>
      <c r="I22" s="133"/>
      <c r="J22" s="133"/>
      <c r="K22" s="133"/>
      <c r="L22" s="133"/>
      <c r="M22" s="133"/>
      <c r="N22" s="133"/>
      <c r="O22" s="133"/>
      <c r="P22" s="133"/>
      <c r="Q22" s="133"/>
      <c r="R22" s="133"/>
      <c r="S22" s="133"/>
      <c r="T22" s="133"/>
      <c r="U22" s="133"/>
      <c r="V22" s="133"/>
      <c r="W22" s="133"/>
      <c r="X22" s="133"/>
      <c r="Y22" s="133"/>
      <c r="Z22" s="133"/>
      <c r="AA22" s="348"/>
    </row>
    <row r="23" spans="2:27" ht="24.9" customHeight="1">
      <c r="B23" s="629" t="s">
        <v>261</v>
      </c>
      <c r="C23" s="630"/>
      <c r="D23" s="134">
        <f ca="1">NPV(4.9%,E21:AA21)</f>
        <v>52165.949853774597</v>
      </c>
      <c r="E23" s="135"/>
      <c r="F23" s="135"/>
      <c r="G23" s="136"/>
      <c r="H23" s="136"/>
      <c r="I23" s="136"/>
      <c r="J23" s="136"/>
      <c r="K23" s="136"/>
      <c r="L23" s="136"/>
      <c r="M23" s="136"/>
      <c r="N23" s="136"/>
      <c r="O23" s="136"/>
      <c r="P23" s="136"/>
      <c r="Q23" s="136"/>
      <c r="R23" s="136"/>
      <c r="S23" s="136"/>
      <c r="T23" s="136"/>
      <c r="U23" s="136"/>
      <c r="V23" s="136"/>
      <c r="W23" s="136"/>
      <c r="X23" s="136"/>
      <c r="Y23" s="136"/>
      <c r="Z23" s="136"/>
      <c r="AA23" s="349"/>
    </row>
    <row r="24" spans="2:27" ht="24.9" customHeight="1"/>
    <row r="25" spans="2:27" ht="24.9" customHeight="1"/>
    <row r="26" spans="2:27" ht="24.9" customHeight="1"/>
    <row r="27" spans="2:27" ht="24.9" customHeight="1"/>
    <row r="28" spans="2:27" ht="24.9" customHeight="1"/>
    <row r="29" spans="2:27" ht="24.9" customHeight="1"/>
    <row r="30" spans="2:27" ht="24.9" customHeight="1"/>
  </sheetData>
  <mergeCells count="7">
    <mergeCell ref="H6:AA6"/>
    <mergeCell ref="E6:G6"/>
    <mergeCell ref="B23:C23"/>
    <mergeCell ref="B6:B7"/>
    <mergeCell ref="C6:C7"/>
    <mergeCell ref="D6:D7"/>
    <mergeCell ref="B22:C22"/>
  </mergeCells>
  <phoneticPr fontId="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7"/>
  <sheetViews>
    <sheetView showGridLines="0" zoomScale="70" zoomScaleNormal="70" workbookViewId="0">
      <selection activeCell="B2" sqref="B2:J36"/>
    </sheetView>
  </sheetViews>
  <sheetFormatPr defaultColWidth="11" defaultRowHeight="15.6"/>
  <cols>
    <col min="3" max="3" width="22.36328125" customWidth="1"/>
    <col min="4" max="10" width="12.90625" customWidth="1"/>
    <col min="11" max="21" width="11.08984375" bestFit="1" customWidth="1"/>
  </cols>
  <sheetData>
    <row r="1" spans="2:13" ht="24.9" customHeight="1"/>
    <row r="2" spans="2:13" ht="24.9" customHeight="1">
      <c r="B2" s="498" t="s">
        <v>7</v>
      </c>
      <c r="C2" s="498" t="s">
        <v>406</v>
      </c>
      <c r="D2" s="498" t="s">
        <v>42</v>
      </c>
      <c r="E2" s="544" t="s">
        <v>496</v>
      </c>
      <c r="F2" s="545"/>
      <c r="G2" s="546"/>
      <c r="H2" s="544" t="s">
        <v>497</v>
      </c>
      <c r="I2" s="545"/>
      <c r="J2" s="546"/>
    </row>
    <row r="3" spans="2:13" ht="24.9" customHeight="1">
      <c r="B3" s="498"/>
      <c r="C3" s="498"/>
      <c r="D3" s="498"/>
      <c r="E3" s="231">
        <v>1</v>
      </c>
      <c r="F3" s="231">
        <v>2</v>
      </c>
      <c r="G3" s="231">
        <v>3</v>
      </c>
      <c r="H3" s="231">
        <v>4</v>
      </c>
      <c r="I3" s="231">
        <v>5</v>
      </c>
      <c r="J3" s="231">
        <v>6</v>
      </c>
    </row>
    <row r="4" spans="2:13" ht="24.9" customHeight="1">
      <c r="B4" s="231" t="s">
        <v>12</v>
      </c>
      <c r="C4" s="231" t="s">
        <v>407</v>
      </c>
      <c r="D4" s="248">
        <f>'15PSC值估算'!D9+'15PSC值估算'!D10</f>
        <v>66213.856721318836</v>
      </c>
      <c r="E4" s="248">
        <f>E5+E6</f>
        <v>25555.556</v>
      </c>
      <c r="F4" s="248">
        <f t="shared" ref="F4:J4" si="0">F5+F6</f>
        <v>19166.667000000001</v>
      </c>
      <c r="G4" s="248">
        <f t="shared" si="0"/>
        <v>19166.667000000001</v>
      </c>
      <c r="H4" s="248">
        <f t="shared" si="0"/>
        <v>95.687999999999988</v>
      </c>
      <c r="I4" s="248">
        <f t="shared" si="0"/>
        <v>97.601759999999985</v>
      </c>
      <c r="J4" s="248">
        <f t="shared" si="0"/>
        <v>99.553795199999982</v>
      </c>
    </row>
    <row r="5" spans="2:13" ht="24.9" customHeight="1">
      <c r="B5" s="231">
        <v>1</v>
      </c>
      <c r="C5" s="231" t="s">
        <v>408</v>
      </c>
      <c r="D5" s="248">
        <f>'15PSC值估算'!D9</f>
        <v>63888.89</v>
      </c>
      <c r="E5" s="248">
        <f>'15PSC值估算'!E9</f>
        <v>25555.556</v>
      </c>
      <c r="F5" s="248">
        <f>'15PSC值估算'!F9</f>
        <v>19166.667000000001</v>
      </c>
      <c r="G5" s="248">
        <f>'15PSC值估算'!G9</f>
        <v>19166.667000000001</v>
      </c>
      <c r="H5" s="248"/>
      <c r="I5" s="248"/>
      <c r="J5" s="248"/>
    </row>
    <row r="6" spans="2:13" ht="24.9" customHeight="1">
      <c r="B6" s="231">
        <v>2</v>
      </c>
      <c r="C6" s="231" t="s">
        <v>409</v>
      </c>
      <c r="D6" s="248">
        <f>'15PSC值估算'!D10</f>
        <v>2324.9667213188382</v>
      </c>
      <c r="E6" s="248">
        <f>'15PSC值估算'!E10</f>
        <v>0</v>
      </c>
      <c r="F6" s="248">
        <f>'15PSC值估算'!F10</f>
        <v>0</v>
      </c>
      <c r="G6" s="248">
        <f>'15PSC值估算'!G10</f>
        <v>0</v>
      </c>
      <c r="H6" s="248">
        <f>'15PSC值估算'!H10</f>
        <v>95.687999999999988</v>
      </c>
      <c r="I6" s="248">
        <f>'15PSC值估算'!I10</f>
        <v>97.601759999999985</v>
      </c>
      <c r="J6" s="248">
        <f>'15PSC值估算'!J10</f>
        <v>99.553795199999982</v>
      </c>
    </row>
    <row r="7" spans="2:13" ht="24.9" customHeight="1">
      <c r="B7" s="231" t="s">
        <v>21</v>
      </c>
      <c r="C7" s="231" t="s">
        <v>410</v>
      </c>
      <c r="D7" s="248">
        <f>'15PSC值估算'!D18</f>
        <v>9932.0785081978247</v>
      </c>
      <c r="E7" s="248">
        <f>'15PSC值估算'!E18</f>
        <v>3833.3334</v>
      </c>
      <c r="F7" s="248">
        <f>'15PSC值估算'!F18</f>
        <v>2875.0000500000001</v>
      </c>
      <c r="G7" s="248">
        <f>'15PSC值估算'!G18</f>
        <v>2875.0000500000001</v>
      </c>
      <c r="H7" s="248">
        <f>'15PSC值估算'!H18</f>
        <v>14.353199999999998</v>
      </c>
      <c r="I7" s="248">
        <f>'15PSC值估算'!I18</f>
        <v>14.640263999999997</v>
      </c>
      <c r="J7" s="248">
        <f>'15PSC值估算'!J18</f>
        <v>14.933069279999996</v>
      </c>
    </row>
    <row r="8" spans="2:13" ht="24.9" customHeight="1">
      <c r="B8" s="231">
        <v>1</v>
      </c>
      <c r="C8" s="231" t="s">
        <v>411</v>
      </c>
      <c r="D8" s="248">
        <f>'15PSC值估算'!D19</f>
        <v>8442.2667319681495</v>
      </c>
      <c r="E8" s="248">
        <f>'15PSC值估算'!E19</f>
        <v>3258.3333899999998</v>
      </c>
      <c r="F8" s="248">
        <f>'15PSC值估算'!F19</f>
        <v>2443.7500424999998</v>
      </c>
      <c r="G8" s="248">
        <f>'15PSC值估算'!G19</f>
        <v>2443.7500424999998</v>
      </c>
      <c r="H8" s="248">
        <f>'15PSC值估算'!H19</f>
        <v>12.200219999999998</v>
      </c>
      <c r="I8" s="248">
        <f>'15PSC值估算'!I19</f>
        <v>12.444224399999996</v>
      </c>
      <c r="J8" s="248">
        <f>'15PSC值估算'!J19</f>
        <v>12.693108887999996</v>
      </c>
    </row>
    <row r="9" spans="2:13" ht="24.9" customHeight="1">
      <c r="B9" s="231">
        <v>2</v>
      </c>
      <c r="C9" s="231" t="s">
        <v>412</v>
      </c>
      <c r="D9" s="248">
        <f>'15PSC值估算'!D20</f>
        <v>1489.811776229674</v>
      </c>
      <c r="E9" s="248">
        <f>'15PSC值估算'!E20</f>
        <v>575.00000999999997</v>
      </c>
      <c r="F9" s="248">
        <f>'15PSC值估算'!F20</f>
        <v>431.25000749999998</v>
      </c>
      <c r="G9" s="248">
        <f>'15PSC值估算'!G20</f>
        <v>431.25000749999998</v>
      </c>
      <c r="H9" s="248">
        <f>'15PSC值估算'!H20</f>
        <v>2.1529799999999994</v>
      </c>
      <c r="I9" s="248">
        <f>'15PSC值估算'!I20</f>
        <v>2.1960395999999993</v>
      </c>
      <c r="J9" s="248">
        <f>'15PSC值估算'!J20</f>
        <v>2.2399603919999995</v>
      </c>
    </row>
    <row r="10" spans="2:13" ht="24.9" customHeight="1">
      <c r="B10" s="201"/>
      <c r="C10" s="201"/>
      <c r="D10" s="201"/>
      <c r="E10" s="201"/>
      <c r="F10" s="201"/>
      <c r="G10" s="201"/>
      <c r="H10" s="201"/>
      <c r="I10" s="201"/>
      <c r="J10" s="201"/>
      <c r="M10" s="248"/>
    </row>
    <row r="11" spans="2:13" ht="24.9" customHeight="1">
      <c r="B11" s="498" t="s">
        <v>7</v>
      </c>
      <c r="C11" s="498" t="s">
        <v>406</v>
      </c>
      <c r="D11" s="498" t="s">
        <v>42</v>
      </c>
      <c r="E11" s="544" t="s">
        <v>497</v>
      </c>
      <c r="F11" s="545"/>
      <c r="G11" s="545"/>
      <c r="H11" s="545"/>
      <c r="I11" s="545"/>
      <c r="J11" s="546"/>
    </row>
    <row r="12" spans="2:13" ht="24.9" customHeight="1">
      <c r="B12" s="498"/>
      <c r="C12" s="498"/>
      <c r="D12" s="498"/>
      <c r="E12" s="231">
        <v>7</v>
      </c>
      <c r="F12" s="231">
        <v>8</v>
      </c>
      <c r="G12" s="231">
        <v>9</v>
      </c>
      <c r="H12" s="231">
        <v>10</v>
      </c>
      <c r="I12" s="231">
        <v>11</v>
      </c>
      <c r="J12" s="231">
        <v>12</v>
      </c>
    </row>
    <row r="13" spans="2:13" ht="24.9" customHeight="1">
      <c r="B13" s="231" t="s">
        <v>12</v>
      </c>
      <c r="C13" s="231" t="s">
        <v>407</v>
      </c>
      <c r="D13" s="248">
        <f>D4</f>
        <v>66213.856721318836</v>
      </c>
      <c r="E13" s="248">
        <f t="shared" ref="E13:J13" si="1">E14+E15</f>
        <v>101.54487110399998</v>
      </c>
      <c r="F13" s="248">
        <f t="shared" si="1"/>
        <v>103.57576852607998</v>
      </c>
      <c r="G13" s="248">
        <f t="shared" si="1"/>
        <v>105.64728389660158</v>
      </c>
      <c r="H13" s="248">
        <f t="shared" si="1"/>
        <v>107.76022957453361</v>
      </c>
      <c r="I13" s="248">
        <f t="shared" si="1"/>
        <v>109.91543416602428</v>
      </c>
      <c r="J13" s="248">
        <f t="shared" si="1"/>
        <v>112.11374284934477</v>
      </c>
    </row>
    <row r="14" spans="2:13" ht="24.9" customHeight="1">
      <c r="B14" s="231">
        <v>1</v>
      </c>
      <c r="C14" s="231" t="s">
        <v>408</v>
      </c>
      <c r="D14" s="248">
        <f t="shared" ref="D14:D18" si="2">D5</f>
        <v>63888.89</v>
      </c>
      <c r="E14" s="248"/>
      <c r="F14" s="248"/>
      <c r="G14" s="248"/>
      <c r="H14" s="248"/>
      <c r="I14" s="248"/>
      <c r="J14" s="248"/>
    </row>
    <row r="15" spans="2:13" ht="24.9" customHeight="1">
      <c r="B15" s="231">
        <v>2</v>
      </c>
      <c r="C15" s="231" t="s">
        <v>409</v>
      </c>
      <c r="D15" s="248">
        <f t="shared" si="2"/>
        <v>2324.9667213188382</v>
      </c>
      <c r="E15" s="248">
        <f>'15PSC值估算'!K10</f>
        <v>101.54487110399998</v>
      </c>
      <c r="F15" s="248">
        <f>'15PSC值估算'!L10</f>
        <v>103.57576852607998</v>
      </c>
      <c r="G15" s="248">
        <f>'15PSC值估算'!M10</f>
        <v>105.64728389660158</v>
      </c>
      <c r="H15" s="248">
        <f>'15PSC值估算'!N10</f>
        <v>107.76022957453361</v>
      </c>
      <c r="I15" s="248">
        <f>'15PSC值估算'!O10</f>
        <v>109.91543416602428</v>
      </c>
      <c r="J15" s="248">
        <f>'15PSC值估算'!P10</f>
        <v>112.11374284934477</v>
      </c>
    </row>
    <row r="16" spans="2:13" ht="24.9" customHeight="1">
      <c r="B16" s="231" t="s">
        <v>21</v>
      </c>
      <c r="C16" s="231" t="s">
        <v>410</v>
      </c>
      <c r="D16" s="248">
        <f t="shared" si="2"/>
        <v>9932.0785081978247</v>
      </c>
      <c r="E16" s="248">
        <f>'15PSC值估算'!K18</f>
        <v>15.231730665599997</v>
      </c>
      <c r="F16" s="248">
        <f>'15PSC值估算'!L18</f>
        <v>15.536365278911997</v>
      </c>
      <c r="G16" s="248">
        <f>'15PSC值估算'!M18</f>
        <v>15.847092584490236</v>
      </c>
      <c r="H16" s="248">
        <f>'15PSC值估算'!N18</f>
        <v>16.164034436180042</v>
      </c>
      <c r="I16" s="248">
        <f>'15PSC值估算'!O18</f>
        <v>16.487315124903642</v>
      </c>
      <c r="J16" s="248">
        <f>'15PSC值估算'!P18</f>
        <v>16.817061427401715</v>
      </c>
    </row>
    <row r="17" spans="2:10" ht="24.9" customHeight="1">
      <c r="B17" s="231">
        <v>1</v>
      </c>
      <c r="C17" s="231" t="s">
        <v>411</v>
      </c>
      <c r="D17" s="248">
        <f t="shared" si="2"/>
        <v>8442.2667319681495</v>
      </c>
      <c r="E17" s="248">
        <f>'15PSC值估算'!K19</f>
        <v>12.946971065759998</v>
      </c>
      <c r="F17" s="248">
        <f>'15PSC值估算'!L19</f>
        <v>13.205910487075197</v>
      </c>
      <c r="G17" s="248">
        <f>'15PSC值估算'!M19</f>
        <v>13.4700286968167</v>
      </c>
      <c r="H17" s="248">
        <f>'15PSC值估算'!N19</f>
        <v>13.739429270753035</v>
      </c>
      <c r="I17" s="248">
        <f>'15PSC值估算'!O19</f>
        <v>14.014217856168095</v>
      </c>
      <c r="J17" s="248">
        <f>'15PSC值估算'!P19</f>
        <v>14.294502213291457</v>
      </c>
    </row>
    <row r="18" spans="2:10" ht="24.9" customHeight="1">
      <c r="B18" s="231">
        <v>2</v>
      </c>
      <c r="C18" s="231" t="s">
        <v>412</v>
      </c>
      <c r="D18" s="248">
        <f t="shared" si="2"/>
        <v>1489.811776229674</v>
      </c>
      <c r="E18" s="248">
        <f>'15PSC值估算'!K20</f>
        <v>2.2847595998399997</v>
      </c>
      <c r="F18" s="248">
        <f>'15PSC值估算'!L20</f>
        <v>2.3304547918367997</v>
      </c>
      <c r="G18" s="248">
        <f>'15PSC值估算'!M20</f>
        <v>2.3770638876735353</v>
      </c>
      <c r="H18" s="248">
        <f>'15PSC值估算'!N20</f>
        <v>2.4246051654270064</v>
      </c>
      <c r="I18" s="248">
        <f>'15PSC值估算'!O20</f>
        <v>2.4730972687355464</v>
      </c>
      <c r="J18" s="248">
        <f>'15PSC值估算'!P20</f>
        <v>2.5225592141102573</v>
      </c>
    </row>
    <row r="19" spans="2:10" ht="24.9" customHeight="1">
      <c r="B19" s="201"/>
      <c r="C19" s="201"/>
      <c r="D19" s="201"/>
      <c r="E19" s="201"/>
      <c r="F19" s="201"/>
      <c r="G19" s="201"/>
      <c r="H19" s="201"/>
      <c r="I19" s="201"/>
      <c r="J19" s="201"/>
    </row>
    <row r="20" spans="2:10" ht="24.9" customHeight="1">
      <c r="B20" s="498" t="s">
        <v>7</v>
      </c>
      <c r="C20" s="498" t="s">
        <v>406</v>
      </c>
      <c r="D20" s="498" t="s">
        <v>42</v>
      </c>
      <c r="E20" s="498" t="s">
        <v>497</v>
      </c>
      <c r="F20" s="498"/>
      <c r="G20" s="498"/>
      <c r="H20" s="498"/>
      <c r="I20" s="498"/>
      <c r="J20" s="498"/>
    </row>
    <row r="21" spans="2:10" ht="24.9" customHeight="1">
      <c r="B21" s="498"/>
      <c r="C21" s="498"/>
      <c r="D21" s="498"/>
      <c r="E21" s="231">
        <v>13</v>
      </c>
      <c r="F21" s="231">
        <v>14</v>
      </c>
      <c r="G21" s="231">
        <v>15</v>
      </c>
      <c r="H21" s="231">
        <v>16</v>
      </c>
      <c r="I21" s="231">
        <v>17</v>
      </c>
      <c r="J21" s="290">
        <v>18</v>
      </c>
    </row>
    <row r="22" spans="2:10" ht="24.9" customHeight="1">
      <c r="B22" s="231" t="s">
        <v>12</v>
      </c>
      <c r="C22" s="231" t="s">
        <v>407</v>
      </c>
      <c r="D22" s="248">
        <f>D4</f>
        <v>66213.856721318836</v>
      </c>
      <c r="E22" s="248">
        <f t="shared" ref="E22:J22" si="3">E23+E24</f>
        <v>114.35601770633167</v>
      </c>
      <c r="F22" s="248">
        <f t="shared" si="3"/>
        <v>116.64313806045831</v>
      </c>
      <c r="G22" s="248">
        <f t="shared" si="3"/>
        <v>118.97600082166748</v>
      </c>
      <c r="H22" s="248">
        <f t="shared" si="3"/>
        <v>121.35552083810083</v>
      </c>
      <c r="I22" s="248">
        <f t="shared" si="3"/>
        <v>123.78263125486285</v>
      </c>
      <c r="J22" s="248">
        <f t="shared" si="3"/>
        <v>126.2582838799601</v>
      </c>
    </row>
    <row r="23" spans="2:10" ht="24.9" customHeight="1">
      <c r="B23" s="231">
        <v>1</v>
      </c>
      <c r="C23" s="231" t="s">
        <v>408</v>
      </c>
      <c r="D23" s="248">
        <f t="shared" ref="D23:D27" si="4">D5</f>
        <v>63888.89</v>
      </c>
      <c r="E23" s="248"/>
      <c r="F23" s="248"/>
      <c r="G23" s="248"/>
      <c r="H23" s="248"/>
      <c r="I23" s="248"/>
      <c r="J23" s="248"/>
    </row>
    <row r="24" spans="2:10" ht="24.9" customHeight="1">
      <c r="B24" s="231">
        <v>2</v>
      </c>
      <c r="C24" s="231" t="s">
        <v>409</v>
      </c>
      <c r="D24" s="248">
        <f t="shared" si="4"/>
        <v>2324.9667213188382</v>
      </c>
      <c r="E24" s="248">
        <f>'15PSC值估算'!Q10</f>
        <v>114.35601770633167</v>
      </c>
      <c r="F24" s="248">
        <f>'15PSC值估算'!R10</f>
        <v>116.64313806045831</v>
      </c>
      <c r="G24" s="248">
        <f>'15PSC值估算'!S10</f>
        <v>118.97600082166748</v>
      </c>
      <c r="H24" s="248">
        <f>'15PSC值估算'!T10</f>
        <v>121.35552083810083</v>
      </c>
      <c r="I24" s="248">
        <f>'15PSC值估算'!U10</f>
        <v>123.78263125486285</v>
      </c>
      <c r="J24" s="248">
        <f>'15PSC值估算'!V10</f>
        <v>126.2582838799601</v>
      </c>
    </row>
    <row r="25" spans="2:10" ht="24.9" customHeight="1">
      <c r="B25" s="231" t="s">
        <v>21</v>
      </c>
      <c r="C25" s="231" t="s">
        <v>410</v>
      </c>
      <c r="D25" s="248">
        <f t="shared" si="4"/>
        <v>9932.0785081978247</v>
      </c>
      <c r="E25" s="248">
        <f>'15PSC值估算'!Q18</f>
        <v>17.153402655949751</v>
      </c>
      <c r="F25" s="248">
        <f>'15PSC值估算'!R18</f>
        <v>17.496470709068745</v>
      </c>
      <c r="G25" s="248">
        <f>'15PSC值估算'!S18</f>
        <v>17.84640012325012</v>
      </c>
      <c r="H25" s="248">
        <f>'15PSC值估算'!T18</f>
        <v>18.203328125715124</v>
      </c>
      <c r="I25" s="248">
        <f>'15PSC值估算'!U18</f>
        <v>18.567394688229427</v>
      </c>
      <c r="J25" s="248">
        <f>'15PSC值估算'!V18</f>
        <v>18.938742581994013</v>
      </c>
    </row>
    <row r="26" spans="2:10" ht="24.9" customHeight="1">
      <c r="B26" s="231">
        <v>1</v>
      </c>
      <c r="C26" s="231" t="s">
        <v>411</v>
      </c>
      <c r="D26" s="248">
        <f t="shared" si="4"/>
        <v>8442.2667319681495</v>
      </c>
      <c r="E26" s="248">
        <f>'15PSC值估算'!Q19</f>
        <v>14.580392257557287</v>
      </c>
      <c r="F26" s="248">
        <f>'15PSC值估算'!R19</f>
        <v>14.872000102708434</v>
      </c>
      <c r="G26" s="248">
        <f>'15PSC值估算'!S19</f>
        <v>15.169440104762602</v>
      </c>
      <c r="H26" s="248">
        <f>'15PSC值估算'!T19</f>
        <v>15.472828906857856</v>
      </c>
      <c r="I26" s="248">
        <f>'15PSC值估算'!U19</f>
        <v>15.782285484995013</v>
      </c>
      <c r="J26" s="248">
        <f>'15PSC值估算'!V19</f>
        <v>16.097931194694912</v>
      </c>
    </row>
    <row r="27" spans="2:10" ht="24.9" customHeight="1">
      <c r="B27" s="231">
        <v>2</v>
      </c>
      <c r="C27" s="231" t="s">
        <v>412</v>
      </c>
      <c r="D27" s="248">
        <f t="shared" si="4"/>
        <v>1489.811776229674</v>
      </c>
      <c r="E27" s="248">
        <f>'15PSC值估算'!Q20</f>
        <v>2.5730103983924626</v>
      </c>
      <c r="F27" s="248">
        <f>'15PSC值估算'!R20</f>
        <v>2.6244706063603118</v>
      </c>
      <c r="G27" s="248">
        <f>'15PSC值估算'!S20</f>
        <v>2.676960018487518</v>
      </c>
      <c r="H27" s="248">
        <f>'15PSC值估算'!T20</f>
        <v>2.7304992188572688</v>
      </c>
      <c r="I27" s="248">
        <f>'15PSC值估算'!U20</f>
        <v>2.785109203234414</v>
      </c>
      <c r="J27" s="248">
        <f>'15PSC值估算'!V20</f>
        <v>2.8408113872991021</v>
      </c>
    </row>
    <row r="28" spans="2:10" ht="24.9" customHeight="1"/>
    <row r="29" spans="2:10" ht="24.9" customHeight="1">
      <c r="B29" s="498" t="s">
        <v>7</v>
      </c>
      <c r="C29" s="498" t="s">
        <v>406</v>
      </c>
      <c r="D29" s="498" t="s">
        <v>42</v>
      </c>
      <c r="E29" s="498" t="s">
        <v>497</v>
      </c>
      <c r="F29" s="498"/>
      <c r="G29" s="498"/>
      <c r="H29" s="498"/>
      <c r="I29" s="498"/>
    </row>
    <row r="30" spans="2:10" ht="24.9" customHeight="1">
      <c r="B30" s="498"/>
      <c r="C30" s="498"/>
      <c r="D30" s="498"/>
      <c r="E30" s="333">
        <v>19</v>
      </c>
      <c r="F30" s="333">
        <v>20</v>
      </c>
      <c r="G30" s="333">
        <v>21</v>
      </c>
      <c r="H30" s="333">
        <v>22</v>
      </c>
      <c r="I30" s="333">
        <v>23</v>
      </c>
    </row>
    <row r="31" spans="2:10" ht="24.9" customHeight="1">
      <c r="B31" s="333" t="s">
        <v>12</v>
      </c>
      <c r="C31" s="333" t="s">
        <v>407</v>
      </c>
      <c r="D31" s="248">
        <f>D13</f>
        <v>66213.856721318836</v>
      </c>
      <c r="E31" s="248">
        <f t="shared" ref="E31:I31" si="5">E32+E33</f>
        <v>128.78344955755929</v>
      </c>
      <c r="F31" s="248">
        <f t="shared" si="5"/>
        <v>131.35911854871048</v>
      </c>
      <c r="G31" s="248">
        <f t="shared" si="5"/>
        <v>133.98630091968471</v>
      </c>
      <c r="H31" s="248">
        <f t="shared" si="5"/>
        <v>136.6660269380784</v>
      </c>
      <c r="I31" s="248">
        <f t="shared" si="5"/>
        <v>139.39934747683998</v>
      </c>
    </row>
    <row r="32" spans="2:10" ht="24.9" customHeight="1">
      <c r="B32" s="333">
        <v>1</v>
      </c>
      <c r="C32" s="333" t="s">
        <v>408</v>
      </c>
      <c r="D32" s="248">
        <f t="shared" ref="D32:D36" si="6">D14</f>
        <v>63888.89</v>
      </c>
      <c r="E32" s="248"/>
      <c r="F32" s="248"/>
      <c r="G32" s="248"/>
      <c r="H32" s="248"/>
      <c r="I32" s="248"/>
    </row>
    <row r="33" spans="2:9" ht="24.9" customHeight="1">
      <c r="B33" s="333">
        <v>2</v>
      </c>
      <c r="C33" s="333" t="s">
        <v>409</v>
      </c>
      <c r="D33" s="248">
        <f t="shared" si="6"/>
        <v>2324.9667213188382</v>
      </c>
      <c r="E33" s="248">
        <f>'15PSC值估算'!W10</f>
        <v>128.78344955755929</v>
      </c>
      <c r="F33" s="248">
        <f>'15PSC值估算'!X10</f>
        <v>131.35911854871048</v>
      </c>
      <c r="G33" s="248">
        <f>'15PSC值估算'!Y10</f>
        <v>133.98630091968471</v>
      </c>
      <c r="H33" s="248">
        <f>'15PSC值估算'!Z10</f>
        <v>136.6660269380784</v>
      </c>
      <c r="I33" s="248">
        <f>'15PSC值估算'!AA10</f>
        <v>139.39934747683998</v>
      </c>
    </row>
    <row r="34" spans="2:9" ht="24.9" customHeight="1">
      <c r="B34" s="333" t="s">
        <v>21</v>
      </c>
      <c r="C34" s="333" t="s">
        <v>410</v>
      </c>
      <c r="D34" s="248">
        <f t="shared" si="6"/>
        <v>9932.0785081978247</v>
      </c>
      <c r="E34" s="248">
        <f>'15PSC值估算'!W18</f>
        <v>19.317517433633892</v>
      </c>
      <c r="F34" s="248">
        <f>'15PSC值估算'!X18</f>
        <v>19.70386778230657</v>
      </c>
      <c r="G34" s="248">
        <f>'15PSC值估算'!Y18</f>
        <v>20.097945137952706</v>
      </c>
      <c r="H34" s="248">
        <f>'15PSC值估算'!Z18</f>
        <v>20.499904040711758</v>
      </c>
      <c r="I34" s="248">
        <f>'15PSC值估算'!AA18</f>
        <v>20.909902121525995</v>
      </c>
    </row>
    <row r="35" spans="2:9" ht="24.9" customHeight="1">
      <c r="B35" s="333">
        <v>1</v>
      </c>
      <c r="C35" s="333" t="s">
        <v>411</v>
      </c>
      <c r="D35" s="248">
        <f t="shared" si="6"/>
        <v>8442.2667319681495</v>
      </c>
      <c r="E35" s="248">
        <f>'15PSC值估算'!W19</f>
        <v>16.419889818588807</v>
      </c>
      <c r="F35" s="248">
        <f>'15PSC值估算'!X19</f>
        <v>16.748287614960585</v>
      </c>
      <c r="G35" s="248">
        <f>'15PSC值估算'!Y19</f>
        <v>17.0832533672598</v>
      </c>
      <c r="H35" s="248">
        <f>'15PSC值估算'!Z19</f>
        <v>17.424918434604994</v>
      </c>
      <c r="I35" s="248">
        <f>'15PSC值估算'!AA19</f>
        <v>17.773416803297096</v>
      </c>
    </row>
    <row r="36" spans="2:9" ht="24.9" customHeight="1">
      <c r="B36" s="333">
        <v>2</v>
      </c>
      <c r="C36" s="333" t="s">
        <v>412</v>
      </c>
      <c r="D36" s="248">
        <f t="shared" si="6"/>
        <v>1489.811776229674</v>
      </c>
      <c r="E36" s="248">
        <f>'15PSC值估算'!W20</f>
        <v>2.8976276150450837</v>
      </c>
      <c r="F36" s="248">
        <f>'15PSC值估算'!X20</f>
        <v>2.9555801673459854</v>
      </c>
      <c r="G36" s="248">
        <f>'15PSC值估算'!Y20</f>
        <v>3.0146917706929059</v>
      </c>
      <c r="H36" s="248">
        <f>'15PSC值估算'!Z20</f>
        <v>3.0749856061067637</v>
      </c>
      <c r="I36" s="248">
        <f>'15PSC值估算'!AA20</f>
        <v>3.1364853182288992</v>
      </c>
    </row>
    <row r="37" spans="2:9" ht="24.9" customHeight="1"/>
    <row r="38" spans="2:9" ht="24.9" customHeight="1"/>
    <row r="39" spans="2:9" ht="24.9" customHeight="1"/>
    <row r="40" spans="2:9" ht="24.9" customHeight="1"/>
    <row r="41" spans="2:9" ht="24.9" customHeight="1"/>
    <row r="42" spans="2:9" ht="24.9" customHeight="1"/>
    <row r="43" spans="2:9" ht="24.9" customHeight="1"/>
    <row r="44" spans="2:9" ht="24.9" customHeight="1"/>
    <row r="45" spans="2:9" ht="24.9" customHeight="1"/>
    <row r="46" spans="2:9" ht="24.9" customHeight="1"/>
    <row r="47" spans="2:9" ht="24.9" customHeight="1"/>
    <row r="48" spans="2:9"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sheetData>
  <mergeCells count="17">
    <mergeCell ref="E11:J11"/>
    <mergeCell ref="B2:B3"/>
    <mergeCell ref="C2:C3"/>
    <mergeCell ref="D2:D3"/>
    <mergeCell ref="B11:B12"/>
    <mergeCell ref="C11:C12"/>
    <mergeCell ref="D11:D12"/>
    <mergeCell ref="E2:G2"/>
    <mergeCell ref="H2:J2"/>
    <mergeCell ref="B29:B30"/>
    <mergeCell ref="C29:C30"/>
    <mergeCell ref="D29:D30"/>
    <mergeCell ref="E29:I29"/>
    <mergeCell ref="B20:B21"/>
    <mergeCell ref="C20:C21"/>
    <mergeCell ref="D20:D21"/>
    <mergeCell ref="E20:J20"/>
  </mergeCells>
  <phoneticPr fontId="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3"/>
  <sheetViews>
    <sheetView zoomScaleNormal="100" workbookViewId="0">
      <selection activeCell="D10" sqref="D10"/>
    </sheetView>
  </sheetViews>
  <sheetFormatPr defaultColWidth="11" defaultRowHeight="15.6"/>
  <cols>
    <col min="3" max="3" width="23.6328125" customWidth="1"/>
    <col min="4" max="4" width="16.08984375" bestFit="1" customWidth="1"/>
    <col min="5" max="5" width="12.90625" bestFit="1" customWidth="1"/>
    <col min="6" max="6" width="11.453125" bestFit="1" customWidth="1"/>
    <col min="7" max="20" width="12.90625" bestFit="1" customWidth="1"/>
    <col min="21" max="21" width="13.08984375" bestFit="1" customWidth="1"/>
    <col min="22" max="27" width="12.6328125" bestFit="1" customWidth="1"/>
  </cols>
  <sheetData>
    <row r="1" spans="2:27" ht="24.9" customHeight="1"/>
    <row r="2" spans="2:27" ht="24.9" customHeight="1">
      <c r="B2" s="634" t="s">
        <v>112</v>
      </c>
      <c r="C2" s="634" t="s">
        <v>250</v>
      </c>
      <c r="D2" s="634" t="s">
        <v>85</v>
      </c>
      <c r="E2" s="635" t="s">
        <v>75</v>
      </c>
      <c r="F2" s="635"/>
      <c r="G2" s="635"/>
      <c r="H2" s="635" t="s">
        <v>497</v>
      </c>
      <c r="I2" s="635"/>
      <c r="J2" s="635"/>
      <c r="K2" s="635"/>
      <c r="L2" s="635"/>
      <c r="M2" s="635"/>
      <c r="N2" s="635"/>
      <c r="O2" s="635"/>
      <c r="P2" s="635"/>
      <c r="Q2" s="635"/>
      <c r="R2" s="635"/>
      <c r="S2" s="635"/>
      <c r="T2" s="635"/>
      <c r="U2" s="635"/>
      <c r="V2" s="635"/>
      <c r="W2" s="635"/>
      <c r="X2" s="635"/>
      <c r="Y2" s="635"/>
      <c r="Z2" s="635"/>
      <c r="AA2" s="635"/>
    </row>
    <row r="3" spans="2:27" ht="24.9" customHeight="1">
      <c r="B3" s="634"/>
      <c r="C3" s="634"/>
      <c r="D3" s="634"/>
      <c r="E3" s="246">
        <v>1</v>
      </c>
      <c r="F3" s="246">
        <v>2</v>
      </c>
      <c r="G3" s="246">
        <v>3</v>
      </c>
      <c r="H3" s="246">
        <v>4</v>
      </c>
      <c r="I3" s="246">
        <v>5</v>
      </c>
      <c r="J3" s="246">
        <v>6</v>
      </c>
      <c r="K3" s="246">
        <v>7</v>
      </c>
      <c r="L3" s="246">
        <v>8</v>
      </c>
      <c r="M3" s="246">
        <v>9</v>
      </c>
      <c r="N3" s="246">
        <v>10</v>
      </c>
      <c r="O3" s="246">
        <v>11</v>
      </c>
      <c r="P3" s="246">
        <v>12</v>
      </c>
      <c r="Q3" s="246">
        <v>13</v>
      </c>
      <c r="R3" s="246">
        <v>14</v>
      </c>
      <c r="S3" s="246">
        <v>15</v>
      </c>
      <c r="T3" s="246">
        <v>16</v>
      </c>
      <c r="U3" s="246">
        <v>17</v>
      </c>
      <c r="V3" s="246">
        <v>18</v>
      </c>
      <c r="W3" s="330">
        <v>19</v>
      </c>
      <c r="X3" s="330">
        <v>20</v>
      </c>
      <c r="Y3" s="330">
        <v>21</v>
      </c>
      <c r="Z3" s="330">
        <v>22</v>
      </c>
      <c r="AA3" s="330">
        <v>23</v>
      </c>
    </row>
    <row r="4" spans="2:27" ht="24.9" customHeight="1">
      <c r="B4" s="137" t="s">
        <v>101</v>
      </c>
      <c r="C4" s="138" t="s">
        <v>262</v>
      </c>
      <c r="D4" s="139">
        <f ca="1">SUM(E4:AA4)</f>
        <v>2051.1611691398393</v>
      </c>
      <c r="E4" s="140">
        <f ca="1">'2投资计划表'!E12</f>
        <v>820.46446765593578</v>
      </c>
      <c r="F4" s="140">
        <f ca="1">'2投资计划表'!F12</f>
        <v>615.34835074195178</v>
      </c>
      <c r="G4" s="140">
        <f ca="1">'2投资计划表'!G12</f>
        <v>615.34835074195178</v>
      </c>
      <c r="H4" s="140">
        <v>0</v>
      </c>
      <c r="I4" s="140">
        <v>0</v>
      </c>
      <c r="J4" s="140">
        <v>0</v>
      </c>
      <c r="K4" s="140">
        <v>0</v>
      </c>
      <c r="L4" s="140">
        <v>0</v>
      </c>
      <c r="M4" s="140">
        <v>0</v>
      </c>
      <c r="N4" s="140">
        <v>0</v>
      </c>
      <c r="O4" s="140">
        <v>0</v>
      </c>
      <c r="P4" s="140">
        <v>0</v>
      </c>
      <c r="Q4" s="140">
        <v>0</v>
      </c>
      <c r="R4" s="140">
        <v>0</v>
      </c>
      <c r="S4" s="140">
        <v>0</v>
      </c>
      <c r="T4" s="140">
        <v>0</v>
      </c>
      <c r="U4" s="140">
        <v>0</v>
      </c>
      <c r="V4" s="140">
        <v>0</v>
      </c>
      <c r="W4" s="140">
        <v>0</v>
      </c>
      <c r="X4" s="140">
        <v>0</v>
      </c>
      <c r="Y4" s="140">
        <v>0</v>
      </c>
      <c r="Z4" s="140">
        <v>0</v>
      </c>
      <c r="AA4" s="140">
        <v>0</v>
      </c>
    </row>
    <row r="5" spans="2:27" ht="24.9" customHeight="1">
      <c r="B5" s="137" t="s">
        <v>202</v>
      </c>
      <c r="C5" s="138" t="s">
        <v>263</v>
      </c>
      <c r="D5" s="139">
        <f t="shared" ref="D5:D8" ca="1" si="0">SUM(E5:AA5)</f>
        <v>41890.098540518513</v>
      </c>
      <c r="E5" s="140">
        <f>'5政府补贴测算'!G10</f>
        <v>0</v>
      </c>
      <c r="F5" s="140">
        <f>'5政府补贴测算'!H10</f>
        <v>0</v>
      </c>
      <c r="G5" s="140">
        <f>'5政府补贴测算'!I10</f>
        <v>0</v>
      </c>
      <c r="H5" s="140">
        <f ca="1">'5政府补贴测算'!J10</f>
        <v>2252.7685601094067</v>
      </c>
      <c r="I5" s="140">
        <f ca="1">'5政府补贴测算'!K10</f>
        <v>2254.6823201094066</v>
      </c>
      <c r="J5" s="140">
        <f ca="1">'5政府补贴测算'!L10</f>
        <v>2256.6343553094066</v>
      </c>
      <c r="K5" s="140">
        <f ca="1">'5政府补贴测算'!M10</f>
        <v>2200.6772647134067</v>
      </c>
      <c r="L5" s="140">
        <f ca="1">'5政府补贴测算'!N10</f>
        <v>2202.7081621354864</v>
      </c>
      <c r="M5" s="140">
        <f ca="1">'5政府补贴测算'!O10</f>
        <v>2204.7796775060078</v>
      </c>
      <c r="N5" s="140">
        <f ca="1">'5政府补贴测算'!P10</f>
        <v>2146.0470483589402</v>
      </c>
      <c r="O5" s="140">
        <f ca="1">'5政府补贴测算'!Q10</f>
        <v>2148.2022529504306</v>
      </c>
      <c r="P5" s="140">
        <f ca="1">'5政府补贴测算'!R10</f>
        <v>2150.4005616337513</v>
      </c>
      <c r="Q5" s="140">
        <f ca="1">'5政府补贴测算'!G16</f>
        <v>2088.7549829244881</v>
      </c>
      <c r="R5" s="140">
        <f ca="1">'5政府补贴测算'!H16</f>
        <v>2091.0421032786144</v>
      </c>
      <c r="S5" s="140">
        <f ca="1">'5政府补贴测算'!I16</f>
        <v>2093.3749660398244</v>
      </c>
      <c r="T5" s="140">
        <f ca="1">'5政府补贴测算'!J16</f>
        <v>2028.6722398116947</v>
      </c>
      <c r="U5" s="140">
        <f ca="1">'5政府补贴测算'!K16</f>
        <v>2031.0993502284566</v>
      </c>
      <c r="V5" s="140">
        <f ca="1">'5政府补贴测算'!L16</f>
        <v>2033.5750028535538</v>
      </c>
      <c r="W5" s="140">
        <f ca="1">'5政府补贴测算'!M16</f>
        <v>1965.6638099743625</v>
      </c>
      <c r="X5" s="140">
        <f ca="1">'5政府补贴测算'!N16</f>
        <v>1968.2394789655134</v>
      </c>
      <c r="Y5" s="140">
        <f ca="1">'5政府补贴测算'!O16</f>
        <v>1970.8666613364878</v>
      </c>
      <c r="Z5" s="140">
        <f ca="1">'5政府补贴测算'!P16</f>
        <v>1899.588210870251</v>
      </c>
      <c r="AA5" s="140">
        <f ca="1">'5政府补贴测算'!Q16</f>
        <v>1902.3215314090128</v>
      </c>
    </row>
    <row r="6" spans="2:27" ht="24.9" customHeight="1">
      <c r="B6" s="137" t="s">
        <v>79</v>
      </c>
      <c r="C6" s="138" t="s">
        <v>264</v>
      </c>
      <c r="D6" s="139">
        <f t="shared" si="0"/>
        <v>1489.811776229674</v>
      </c>
      <c r="E6" s="140">
        <f>'15PSC值估算'!E20</f>
        <v>575.00000999999997</v>
      </c>
      <c r="F6" s="140">
        <f>'15PSC值估算'!F20</f>
        <v>431.25000749999998</v>
      </c>
      <c r="G6" s="140">
        <f>'15PSC值估算'!G20</f>
        <v>431.25000749999998</v>
      </c>
      <c r="H6" s="140">
        <f>'15PSC值估算'!H20</f>
        <v>2.1529799999999994</v>
      </c>
      <c r="I6" s="140">
        <f>'15PSC值估算'!I20</f>
        <v>2.1960395999999993</v>
      </c>
      <c r="J6" s="140">
        <f>'15PSC值估算'!J20</f>
        <v>2.2399603919999995</v>
      </c>
      <c r="K6" s="140">
        <f>'15PSC值估算'!K20</f>
        <v>2.2847595998399997</v>
      </c>
      <c r="L6" s="140">
        <f>'15PSC值估算'!L20</f>
        <v>2.3304547918367997</v>
      </c>
      <c r="M6" s="140">
        <f>'15PSC值估算'!M20</f>
        <v>2.3770638876735353</v>
      </c>
      <c r="N6" s="140">
        <f>'15PSC值估算'!N20</f>
        <v>2.4246051654270064</v>
      </c>
      <c r="O6" s="140">
        <f>'15PSC值估算'!O20</f>
        <v>2.4730972687355464</v>
      </c>
      <c r="P6" s="140">
        <f>'15PSC值估算'!P20</f>
        <v>2.5225592141102573</v>
      </c>
      <c r="Q6" s="140">
        <f>'15PSC值估算'!Q20</f>
        <v>2.5730103983924626</v>
      </c>
      <c r="R6" s="140">
        <f>'15PSC值估算'!R20</f>
        <v>2.6244706063603118</v>
      </c>
      <c r="S6" s="140">
        <f>'15PSC值估算'!S20</f>
        <v>2.676960018487518</v>
      </c>
      <c r="T6" s="140">
        <f>'15PSC值估算'!T20</f>
        <v>2.7304992188572688</v>
      </c>
      <c r="U6" s="140">
        <f>'15PSC值估算'!U20</f>
        <v>2.785109203234414</v>
      </c>
      <c r="V6" s="140">
        <f>'15PSC值估算'!V20</f>
        <v>2.8408113872991021</v>
      </c>
      <c r="W6" s="140">
        <f>'15PSC值估算'!W20</f>
        <v>2.8976276150450837</v>
      </c>
      <c r="X6" s="140">
        <f>'15PSC值估算'!X20</f>
        <v>2.9555801673459854</v>
      </c>
      <c r="Y6" s="140">
        <f>'15PSC值估算'!Y20</f>
        <v>3.0146917706929059</v>
      </c>
      <c r="Z6" s="140">
        <f>'15PSC值估算'!Z20</f>
        <v>3.0749856061067637</v>
      </c>
      <c r="AA6" s="140">
        <f>'15PSC值估算'!AA20</f>
        <v>3.1364853182288992</v>
      </c>
    </row>
    <row r="7" spans="2:27" ht="24.9" customHeight="1">
      <c r="B7" s="137" t="s">
        <v>265</v>
      </c>
      <c r="C7" s="138" t="s">
        <v>266</v>
      </c>
      <c r="D7" s="139"/>
      <c r="E7" s="140"/>
      <c r="F7" s="140"/>
      <c r="G7" s="140"/>
      <c r="H7" s="140"/>
      <c r="I7" s="140"/>
      <c r="J7" s="140"/>
      <c r="K7" s="140"/>
      <c r="L7" s="140"/>
      <c r="M7" s="140"/>
      <c r="N7" s="140"/>
      <c r="O7" s="140"/>
      <c r="P7" s="140"/>
      <c r="Q7" s="140"/>
      <c r="R7" s="140"/>
      <c r="S7" s="140"/>
      <c r="T7" s="140"/>
      <c r="U7" s="140"/>
      <c r="V7" s="252"/>
      <c r="W7" s="140"/>
      <c r="X7" s="252"/>
      <c r="Y7" s="140"/>
      <c r="Z7" s="252"/>
      <c r="AA7" s="140"/>
    </row>
    <row r="8" spans="2:27" ht="24.9" customHeight="1">
      <c r="B8" s="141" t="s">
        <v>267</v>
      </c>
      <c r="C8" s="142" t="s">
        <v>268</v>
      </c>
      <c r="D8" s="139">
        <f t="shared" ca="1" si="0"/>
        <v>45431.071485888024</v>
      </c>
      <c r="E8" s="140">
        <f ca="1">E4+E5+E6</f>
        <v>1395.4644776559358</v>
      </c>
      <c r="F8" s="140">
        <f t="shared" ref="F8:V8" ca="1" si="1">F4+F5+F6</f>
        <v>1046.5983582419517</v>
      </c>
      <c r="G8" s="140">
        <f t="shared" ca="1" si="1"/>
        <v>1046.5983582419517</v>
      </c>
      <c r="H8" s="140">
        <f t="shared" ca="1" si="1"/>
        <v>2254.9215401094066</v>
      </c>
      <c r="I8" s="140">
        <f t="shared" ca="1" si="1"/>
        <v>2256.8783597094066</v>
      </c>
      <c r="J8" s="140">
        <f t="shared" ca="1" si="1"/>
        <v>2258.8743157014064</v>
      </c>
      <c r="K8" s="140">
        <f t="shared" ca="1" si="1"/>
        <v>2202.9620243132467</v>
      </c>
      <c r="L8" s="140">
        <f t="shared" ca="1" si="1"/>
        <v>2205.0386169273233</v>
      </c>
      <c r="M8" s="140">
        <f t="shared" ca="1" si="1"/>
        <v>2207.1567413936814</v>
      </c>
      <c r="N8" s="140">
        <f t="shared" ca="1" si="1"/>
        <v>2148.471653524367</v>
      </c>
      <c r="O8" s="140">
        <f t="shared" ca="1" si="1"/>
        <v>2150.6753502191664</v>
      </c>
      <c r="P8" s="140">
        <f t="shared" ca="1" si="1"/>
        <v>2152.9231208478614</v>
      </c>
      <c r="Q8" s="140">
        <f t="shared" ca="1" si="1"/>
        <v>2091.3279933228805</v>
      </c>
      <c r="R8" s="140">
        <f t="shared" ca="1" si="1"/>
        <v>2093.6665738849747</v>
      </c>
      <c r="S8" s="140">
        <f t="shared" ca="1" si="1"/>
        <v>2096.0519260583119</v>
      </c>
      <c r="T8" s="140">
        <f t="shared" ca="1" si="1"/>
        <v>2031.4027390305519</v>
      </c>
      <c r="U8" s="140">
        <f t="shared" ca="1" si="1"/>
        <v>2033.8844594316911</v>
      </c>
      <c r="V8" s="140">
        <f t="shared" ca="1" si="1"/>
        <v>2036.4158142408528</v>
      </c>
      <c r="W8" s="140">
        <f t="shared" ref="W8:AA8" ca="1" si="2">W4+W5+W6</f>
        <v>1968.5614375894077</v>
      </c>
      <c r="X8" s="140">
        <f t="shared" ca="1" si="2"/>
        <v>1971.1950591328593</v>
      </c>
      <c r="Y8" s="140">
        <f t="shared" ca="1" si="2"/>
        <v>1973.8813531071808</v>
      </c>
      <c r="Z8" s="140">
        <f t="shared" ca="1" si="2"/>
        <v>1902.6631964763578</v>
      </c>
      <c r="AA8" s="140">
        <f t="shared" ca="1" si="2"/>
        <v>1905.4580167272418</v>
      </c>
    </row>
    <row r="9" spans="2:27" ht="24.9" customHeight="1">
      <c r="B9" s="143" t="s">
        <v>248</v>
      </c>
      <c r="C9" s="144"/>
      <c r="D9" s="144"/>
      <c r="E9" s="145"/>
      <c r="F9" s="145"/>
      <c r="G9" s="145"/>
      <c r="H9" s="145"/>
      <c r="I9" s="145"/>
      <c r="J9" s="145"/>
      <c r="K9" s="145"/>
      <c r="L9" s="145"/>
      <c r="M9" s="145"/>
      <c r="N9" s="145"/>
      <c r="O9" s="145"/>
      <c r="P9" s="145"/>
      <c r="Q9" s="145"/>
      <c r="R9" s="145"/>
      <c r="S9" s="145"/>
      <c r="T9" s="145"/>
      <c r="U9" s="145"/>
      <c r="V9" s="145"/>
      <c r="W9" s="145"/>
      <c r="X9" s="145"/>
      <c r="Y9" s="145"/>
      <c r="Z9" s="145"/>
      <c r="AA9" s="350"/>
    </row>
    <row r="10" spans="2:27" ht="24.9" customHeight="1">
      <c r="B10" s="146"/>
      <c r="C10" s="147" t="s">
        <v>269</v>
      </c>
      <c r="D10" s="148">
        <f ca="1">NPV(4.9%,E8:AA8)</f>
        <v>26348.697826692056</v>
      </c>
      <c r="E10" s="149"/>
      <c r="F10" s="149"/>
      <c r="G10" s="149"/>
      <c r="H10" s="149"/>
      <c r="I10" s="149"/>
      <c r="J10" s="149"/>
      <c r="K10" s="149"/>
      <c r="L10" s="149"/>
      <c r="M10" s="149"/>
      <c r="N10" s="149"/>
      <c r="O10" s="149"/>
      <c r="P10" s="149"/>
      <c r="Q10" s="149"/>
      <c r="R10" s="149"/>
      <c r="S10" s="149"/>
      <c r="T10" s="149"/>
      <c r="U10" s="149"/>
      <c r="V10" s="149"/>
      <c r="W10" s="149"/>
      <c r="X10" s="149"/>
      <c r="Y10" s="149"/>
      <c r="Z10" s="149"/>
      <c r="AA10" s="351"/>
    </row>
    <row r="11" spans="2:27" ht="24.9" customHeight="1"/>
    <row r="12" spans="2:27" ht="24.9" customHeight="1"/>
    <row r="13" spans="2:27" ht="24.9" customHeight="1">
      <c r="D13" s="23"/>
    </row>
  </sheetData>
  <mergeCells count="5">
    <mergeCell ref="B2:B3"/>
    <mergeCell ref="C2:C3"/>
    <mergeCell ref="D2:D3"/>
    <mergeCell ref="E2:G2"/>
    <mergeCell ref="H2:AA2"/>
  </mergeCells>
  <phoneticPr fontId="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8"/>
  <sheetViews>
    <sheetView zoomScaleNormal="100" workbookViewId="0">
      <selection activeCell="L31" sqref="L31"/>
    </sheetView>
  </sheetViews>
  <sheetFormatPr defaultColWidth="11" defaultRowHeight="15.6"/>
  <cols>
    <col min="2" max="2" width="10.90625" customWidth="1"/>
    <col min="5" max="5" width="13.6328125" bestFit="1" customWidth="1"/>
    <col min="6" max="7" width="12.453125" bestFit="1" customWidth="1"/>
    <col min="9" max="9" width="12.453125" bestFit="1" customWidth="1"/>
    <col min="10" max="10" width="14.6328125" bestFit="1" customWidth="1"/>
    <col min="11" max="11" width="13.6328125" bestFit="1" customWidth="1"/>
    <col min="12" max="12" width="16.6328125" bestFit="1" customWidth="1"/>
    <col min="21" max="21" width="12.453125" bestFit="1" customWidth="1"/>
  </cols>
  <sheetData>
    <row r="1" spans="2:14" ht="24.9" customHeight="1"/>
    <row r="2" spans="2:14" ht="24.9" customHeight="1">
      <c r="B2" s="72" t="s">
        <v>294</v>
      </c>
      <c r="C2" s="72"/>
      <c r="D2" s="72"/>
      <c r="E2" s="72"/>
      <c r="F2" s="72"/>
      <c r="G2" s="72"/>
      <c r="H2" s="72"/>
      <c r="I2" s="72"/>
      <c r="J2" s="19"/>
      <c r="K2" s="19"/>
      <c r="L2" s="19"/>
      <c r="M2" s="19"/>
      <c r="N2" s="19"/>
    </row>
    <row r="3" spans="2:14" ht="52.2">
      <c r="B3" s="402" t="s">
        <v>56</v>
      </c>
      <c r="C3" s="402" t="s">
        <v>295</v>
      </c>
      <c r="D3" s="402" t="s">
        <v>296</v>
      </c>
      <c r="E3" s="154" t="s">
        <v>297</v>
      </c>
      <c r="F3" s="154" t="s">
        <v>298</v>
      </c>
      <c r="G3" s="154" t="s">
        <v>299</v>
      </c>
      <c r="H3" s="154" t="s">
        <v>300</v>
      </c>
      <c r="I3" s="154" t="s">
        <v>301</v>
      </c>
      <c r="J3" s="19"/>
      <c r="K3" s="19"/>
      <c r="L3" s="19"/>
    </row>
    <row r="4" spans="2:14" ht="24.9" customHeight="1">
      <c r="B4" s="401">
        <v>1</v>
      </c>
      <c r="C4" s="401">
        <v>2022</v>
      </c>
      <c r="D4" s="401" t="s">
        <v>75</v>
      </c>
      <c r="E4" s="238">
        <f ca="1">财承简表!D5</f>
        <v>820.46446765593578</v>
      </c>
      <c r="F4" s="238">
        <v>0</v>
      </c>
      <c r="G4" s="238" cm="1">
        <f t="array" ref="G4:G26">TRANSPOSE(财承简表!D7:Z7)</f>
        <v>575.00000999999997</v>
      </c>
      <c r="H4" s="238">
        <v>0</v>
      </c>
      <c r="I4" s="238">
        <f ca="1">E4+G4+F4</f>
        <v>1395.4644776559358</v>
      </c>
      <c r="J4" s="19"/>
      <c r="K4" s="19"/>
    </row>
    <row r="5" spans="2:14" ht="24.9" customHeight="1">
      <c r="B5" s="401">
        <v>2</v>
      </c>
      <c r="C5" s="401">
        <v>2023</v>
      </c>
      <c r="D5" s="401" t="s">
        <v>75</v>
      </c>
      <c r="E5" s="238">
        <f ca="1">财承简表!E5</f>
        <v>615.34835074195178</v>
      </c>
      <c r="F5" s="238">
        <v>0</v>
      </c>
      <c r="G5" s="238">
        <v>431.25000749999998</v>
      </c>
      <c r="H5" s="238">
        <v>0</v>
      </c>
      <c r="I5" s="238">
        <f t="shared" ref="I5:I26" ca="1" si="0">E5+G5+F5</f>
        <v>1046.5983582419517</v>
      </c>
      <c r="J5" s="19"/>
      <c r="K5" s="19"/>
    </row>
    <row r="6" spans="2:14" ht="24.9" customHeight="1">
      <c r="B6" s="401">
        <v>3</v>
      </c>
      <c r="C6" s="401">
        <v>2024</v>
      </c>
      <c r="D6" s="401" t="s">
        <v>75</v>
      </c>
      <c r="E6" s="238">
        <f ca="1">财承简表!F5</f>
        <v>615.34835074195178</v>
      </c>
      <c r="F6" s="238" cm="1">
        <f t="array" ref="F6:F26">TRANSPOSE(财承简表!F6:Z6)</f>
        <v>0</v>
      </c>
      <c r="G6" s="238">
        <v>431.25000749999998</v>
      </c>
      <c r="H6" s="238">
        <v>0</v>
      </c>
      <c r="I6" s="238">
        <f t="shared" ca="1" si="0"/>
        <v>1046.5983582419517</v>
      </c>
      <c r="J6" s="19"/>
      <c r="K6" s="19"/>
    </row>
    <row r="7" spans="2:14" ht="24.9" customHeight="1">
      <c r="B7" s="401">
        <v>4</v>
      </c>
      <c r="C7" s="401">
        <v>2025</v>
      </c>
      <c r="D7" s="401" t="s">
        <v>302</v>
      </c>
      <c r="E7" s="238">
        <v>0</v>
      </c>
      <c r="F7" s="238">
        <f ca="1"/>
        <v>2252.7685601094067</v>
      </c>
      <c r="G7" s="238">
        <v>2.1529799999999994</v>
      </c>
      <c r="H7" s="238">
        <v>0</v>
      </c>
      <c r="I7" s="238">
        <f t="shared" ca="1" si="0"/>
        <v>2254.9215401094066</v>
      </c>
      <c r="J7" s="19"/>
      <c r="K7" s="19"/>
      <c r="L7" s="19"/>
    </row>
    <row r="8" spans="2:14" ht="24.9" customHeight="1">
      <c r="B8" s="401">
        <v>5</v>
      </c>
      <c r="C8" s="401">
        <v>2026</v>
      </c>
      <c r="D8" s="401" t="s">
        <v>302</v>
      </c>
      <c r="E8" s="238">
        <v>0</v>
      </c>
      <c r="F8" s="238">
        <f ca="1"/>
        <v>2254.6823201094066</v>
      </c>
      <c r="G8" s="238">
        <v>2.1960395999999993</v>
      </c>
      <c r="H8" s="238">
        <v>0</v>
      </c>
      <c r="I8" s="238">
        <f t="shared" ca="1" si="0"/>
        <v>2256.8783597094066</v>
      </c>
      <c r="J8" s="19"/>
      <c r="K8" s="19"/>
      <c r="L8" s="19"/>
    </row>
    <row r="9" spans="2:14" ht="24.9" customHeight="1">
      <c r="B9" s="401">
        <v>6</v>
      </c>
      <c r="C9" s="401">
        <v>2027</v>
      </c>
      <c r="D9" s="401" t="s">
        <v>302</v>
      </c>
      <c r="E9" s="238">
        <v>0</v>
      </c>
      <c r="F9" s="238">
        <f ca="1"/>
        <v>2256.6343553094066</v>
      </c>
      <c r="G9" s="238">
        <v>2.2399603919999995</v>
      </c>
      <c r="H9" s="238">
        <v>0</v>
      </c>
      <c r="I9" s="238">
        <f t="shared" ca="1" si="0"/>
        <v>2258.8743157014064</v>
      </c>
      <c r="J9" s="19"/>
      <c r="K9" s="19"/>
      <c r="L9" s="19"/>
    </row>
    <row r="10" spans="2:14" ht="24.9" customHeight="1">
      <c r="B10" s="401">
        <v>7</v>
      </c>
      <c r="C10" s="401">
        <v>2028</v>
      </c>
      <c r="D10" s="401" t="s">
        <v>302</v>
      </c>
      <c r="E10" s="238">
        <v>0</v>
      </c>
      <c r="F10" s="238">
        <f ca="1"/>
        <v>2200.6772647134067</v>
      </c>
      <c r="G10" s="238">
        <v>2.2847595998399997</v>
      </c>
      <c r="H10" s="238">
        <v>0</v>
      </c>
      <c r="I10" s="238">
        <f t="shared" ca="1" si="0"/>
        <v>2202.9620243132467</v>
      </c>
      <c r="J10" s="19"/>
      <c r="K10" s="19"/>
      <c r="L10" s="19"/>
    </row>
    <row r="11" spans="2:14" ht="24.9" customHeight="1">
      <c r="B11" s="401">
        <v>8</v>
      </c>
      <c r="C11" s="401">
        <v>2029</v>
      </c>
      <c r="D11" s="401" t="s">
        <v>302</v>
      </c>
      <c r="E11" s="238">
        <v>0</v>
      </c>
      <c r="F11" s="238">
        <f ca="1"/>
        <v>2202.7081621354864</v>
      </c>
      <c r="G11" s="238">
        <v>2.3304547918367997</v>
      </c>
      <c r="H11" s="238">
        <v>0</v>
      </c>
      <c r="I11" s="238">
        <f t="shared" ca="1" si="0"/>
        <v>2205.0386169273233</v>
      </c>
      <c r="J11" s="19"/>
      <c r="K11" s="19"/>
      <c r="L11" s="19"/>
    </row>
    <row r="12" spans="2:14" ht="24.9" customHeight="1">
      <c r="B12" s="401">
        <v>9</v>
      </c>
      <c r="C12" s="401">
        <v>2030</v>
      </c>
      <c r="D12" s="401" t="s">
        <v>302</v>
      </c>
      <c r="E12" s="238">
        <v>0</v>
      </c>
      <c r="F12" s="238">
        <f ca="1"/>
        <v>2204.7796775060078</v>
      </c>
      <c r="G12" s="238">
        <v>2.3770638876735353</v>
      </c>
      <c r="H12" s="238">
        <v>0</v>
      </c>
      <c r="I12" s="238">
        <f t="shared" ca="1" si="0"/>
        <v>2207.1567413936814</v>
      </c>
      <c r="J12" s="19"/>
      <c r="K12" s="19"/>
      <c r="L12" s="19"/>
    </row>
    <row r="13" spans="2:14" ht="24.9" customHeight="1">
      <c r="B13" s="401">
        <v>10</v>
      </c>
      <c r="C13" s="401">
        <v>2031</v>
      </c>
      <c r="D13" s="401" t="s">
        <v>302</v>
      </c>
      <c r="E13" s="238">
        <v>0</v>
      </c>
      <c r="F13" s="238">
        <f ca="1"/>
        <v>2146.0470483589402</v>
      </c>
      <c r="G13" s="238">
        <v>2.4246051654270064</v>
      </c>
      <c r="H13" s="238">
        <v>0</v>
      </c>
      <c r="I13" s="238">
        <f t="shared" ca="1" si="0"/>
        <v>2148.471653524367</v>
      </c>
      <c r="J13" s="19"/>
      <c r="K13" s="19"/>
      <c r="L13" s="19"/>
    </row>
    <row r="14" spans="2:14" ht="24.9" customHeight="1">
      <c r="B14" s="401">
        <v>11</v>
      </c>
      <c r="C14" s="401">
        <v>2032</v>
      </c>
      <c r="D14" s="401" t="s">
        <v>302</v>
      </c>
      <c r="E14" s="238">
        <v>0</v>
      </c>
      <c r="F14" s="238">
        <f ca="1"/>
        <v>2148.2022529504306</v>
      </c>
      <c r="G14" s="238">
        <v>2.4730972687355464</v>
      </c>
      <c r="H14" s="238">
        <v>0</v>
      </c>
      <c r="I14" s="238">
        <f t="shared" ca="1" si="0"/>
        <v>2150.6753502191664</v>
      </c>
      <c r="J14" s="19"/>
      <c r="K14" s="19"/>
      <c r="L14" s="19"/>
    </row>
    <row r="15" spans="2:14" ht="24.9" customHeight="1">
      <c r="B15" s="401">
        <v>12</v>
      </c>
      <c r="C15" s="401">
        <v>2033</v>
      </c>
      <c r="D15" s="401" t="s">
        <v>302</v>
      </c>
      <c r="E15" s="238">
        <v>0</v>
      </c>
      <c r="F15" s="238">
        <f ca="1"/>
        <v>2150.4005616337513</v>
      </c>
      <c r="G15" s="238">
        <v>2.5225592141102573</v>
      </c>
      <c r="H15" s="238">
        <v>0</v>
      </c>
      <c r="I15" s="238">
        <f t="shared" ca="1" si="0"/>
        <v>2152.9231208478614</v>
      </c>
      <c r="J15" s="19"/>
      <c r="K15" s="19"/>
      <c r="L15" s="19"/>
    </row>
    <row r="16" spans="2:14" ht="24.9" customHeight="1">
      <c r="B16" s="401">
        <v>13</v>
      </c>
      <c r="C16" s="401">
        <v>2034</v>
      </c>
      <c r="D16" s="401" t="s">
        <v>302</v>
      </c>
      <c r="E16" s="238">
        <v>0</v>
      </c>
      <c r="F16" s="238">
        <f ca="1"/>
        <v>2088.7549829244881</v>
      </c>
      <c r="G16" s="238">
        <v>2.5730103983924626</v>
      </c>
      <c r="H16" s="238">
        <v>0</v>
      </c>
      <c r="I16" s="238">
        <f t="shared" ca="1" si="0"/>
        <v>2091.3279933228805</v>
      </c>
      <c r="J16" s="19"/>
      <c r="K16" s="19"/>
      <c r="L16" s="19"/>
    </row>
    <row r="17" spans="2:16" ht="24.9" customHeight="1">
      <c r="B17" s="401">
        <v>14</v>
      </c>
      <c r="C17" s="401">
        <v>2035</v>
      </c>
      <c r="D17" s="401" t="s">
        <v>302</v>
      </c>
      <c r="E17" s="238">
        <v>0</v>
      </c>
      <c r="F17" s="238">
        <f ca="1"/>
        <v>2091.0421032786144</v>
      </c>
      <c r="G17" s="238">
        <v>2.6244706063603118</v>
      </c>
      <c r="H17" s="238">
        <v>0</v>
      </c>
      <c r="I17" s="238">
        <f t="shared" ca="1" si="0"/>
        <v>2093.6665738849747</v>
      </c>
      <c r="J17" s="19"/>
      <c r="K17" s="19"/>
      <c r="L17" s="19"/>
    </row>
    <row r="18" spans="2:16" ht="24.9" customHeight="1">
      <c r="B18" s="401">
        <v>15</v>
      </c>
      <c r="C18" s="401">
        <v>2036</v>
      </c>
      <c r="D18" s="401" t="s">
        <v>302</v>
      </c>
      <c r="E18" s="238">
        <v>0</v>
      </c>
      <c r="F18" s="238">
        <f ca="1"/>
        <v>2093.3749660398244</v>
      </c>
      <c r="G18" s="238">
        <v>2.676960018487518</v>
      </c>
      <c r="H18" s="238">
        <v>0</v>
      </c>
      <c r="I18" s="238">
        <f t="shared" ca="1" si="0"/>
        <v>2096.0519260583119</v>
      </c>
      <c r="J18" s="19"/>
      <c r="K18" s="19"/>
      <c r="L18" s="19"/>
    </row>
    <row r="19" spans="2:16" ht="24.9" customHeight="1">
      <c r="B19" s="401">
        <v>16</v>
      </c>
      <c r="C19" s="401">
        <v>2037</v>
      </c>
      <c r="D19" s="401" t="s">
        <v>302</v>
      </c>
      <c r="E19" s="238">
        <v>0</v>
      </c>
      <c r="F19" s="238">
        <f ca="1"/>
        <v>2028.6722398116947</v>
      </c>
      <c r="G19" s="238">
        <v>2.7304992188572688</v>
      </c>
      <c r="H19" s="238">
        <v>0</v>
      </c>
      <c r="I19" s="238">
        <f t="shared" ca="1" si="0"/>
        <v>2031.4027390305519</v>
      </c>
      <c r="J19" s="19"/>
      <c r="K19" s="19"/>
      <c r="L19" s="19"/>
    </row>
    <row r="20" spans="2:16" ht="24.9" customHeight="1">
      <c r="B20" s="401">
        <v>17</v>
      </c>
      <c r="C20" s="401">
        <v>2038</v>
      </c>
      <c r="D20" s="401" t="s">
        <v>302</v>
      </c>
      <c r="E20" s="238">
        <v>0</v>
      </c>
      <c r="F20" s="238">
        <f ca="1"/>
        <v>2031.0993502284566</v>
      </c>
      <c r="G20" s="238">
        <v>2.785109203234414</v>
      </c>
      <c r="H20" s="238">
        <v>0</v>
      </c>
      <c r="I20" s="238">
        <f t="shared" ca="1" si="0"/>
        <v>2033.8844594316911</v>
      </c>
      <c r="J20" s="19"/>
      <c r="K20" s="19"/>
      <c r="L20" s="19"/>
    </row>
    <row r="21" spans="2:16" ht="24.9" customHeight="1">
      <c r="B21" s="401">
        <v>18</v>
      </c>
      <c r="C21" s="401">
        <v>2039</v>
      </c>
      <c r="D21" s="401" t="s">
        <v>302</v>
      </c>
      <c r="E21" s="238">
        <v>0</v>
      </c>
      <c r="F21" s="238">
        <f ca="1"/>
        <v>2033.5750028535538</v>
      </c>
      <c r="G21" s="238">
        <v>2.8408113872991021</v>
      </c>
      <c r="H21" s="238">
        <v>0</v>
      </c>
      <c r="I21" s="238">
        <f t="shared" ca="1" si="0"/>
        <v>2036.4158142408528</v>
      </c>
      <c r="J21" s="19"/>
      <c r="K21" s="19"/>
      <c r="L21" s="19"/>
    </row>
    <row r="22" spans="2:16" ht="24.9" customHeight="1">
      <c r="B22" s="401">
        <v>19</v>
      </c>
      <c r="C22" s="401">
        <v>2040</v>
      </c>
      <c r="D22" s="401" t="s">
        <v>302</v>
      </c>
      <c r="E22" s="238">
        <v>0</v>
      </c>
      <c r="F22" s="238">
        <f ca="1"/>
        <v>1965.6638099743625</v>
      </c>
      <c r="G22" s="238">
        <v>2.8976276150450837</v>
      </c>
      <c r="H22" s="238">
        <v>0</v>
      </c>
      <c r="I22" s="238">
        <f t="shared" ca="1" si="0"/>
        <v>1968.5614375894077</v>
      </c>
      <c r="J22" s="19"/>
      <c r="K22" s="19"/>
      <c r="L22" s="19"/>
    </row>
    <row r="23" spans="2:16" ht="24.9" customHeight="1">
      <c r="B23" s="401">
        <v>20</v>
      </c>
      <c r="C23" s="401">
        <v>2041</v>
      </c>
      <c r="D23" s="401" t="s">
        <v>302</v>
      </c>
      <c r="E23" s="238">
        <v>0</v>
      </c>
      <c r="F23" s="238">
        <f ca="1"/>
        <v>1968.2394789655134</v>
      </c>
      <c r="G23" s="238">
        <v>2.9555801673459854</v>
      </c>
      <c r="H23" s="238">
        <v>0</v>
      </c>
      <c r="I23" s="238">
        <f t="shared" ca="1" si="0"/>
        <v>1971.1950591328593</v>
      </c>
      <c r="J23" s="19"/>
      <c r="K23" s="19"/>
      <c r="L23" s="19"/>
    </row>
    <row r="24" spans="2:16" ht="24.9" customHeight="1">
      <c r="B24" s="401">
        <v>21</v>
      </c>
      <c r="C24" s="401">
        <v>2042</v>
      </c>
      <c r="D24" s="401" t="s">
        <v>302</v>
      </c>
      <c r="E24" s="238">
        <v>0</v>
      </c>
      <c r="F24" s="238">
        <f ca="1"/>
        <v>1970.8666613364878</v>
      </c>
      <c r="G24" s="238">
        <v>3.0146917706929059</v>
      </c>
      <c r="H24" s="238">
        <v>0</v>
      </c>
      <c r="I24" s="238">
        <f t="shared" ca="1" si="0"/>
        <v>1973.8813531071808</v>
      </c>
      <c r="J24" s="19"/>
      <c r="K24" s="19"/>
      <c r="L24" s="19"/>
    </row>
    <row r="25" spans="2:16" ht="24.9" customHeight="1">
      <c r="B25" s="401">
        <v>22</v>
      </c>
      <c r="C25" s="401">
        <v>2043</v>
      </c>
      <c r="D25" s="401" t="s">
        <v>302</v>
      </c>
      <c r="E25" s="238">
        <v>0</v>
      </c>
      <c r="F25" s="238">
        <f ca="1"/>
        <v>1899.588210870251</v>
      </c>
      <c r="G25" s="238">
        <v>3.0749856061067637</v>
      </c>
      <c r="H25" s="238">
        <v>0</v>
      </c>
      <c r="I25" s="238">
        <f t="shared" ca="1" si="0"/>
        <v>1902.6631964763578</v>
      </c>
      <c r="J25" s="19"/>
      <c r="K25" s="19"/>
      <c r="L25" s="19"/>
    </row>
    <row r="26" spans="2:16" ht="24.9" customHeight="1">
      <c r="B26" s="401">
        <v>23</v>
      </c>
      <c r="C26" s="401">
        <v>2044</v>
      </c>
      <c r="D26" s="401" t="s">
        <v>302</v>
      </c>
      <c r="E26" s="238">
        <v>0</v>
      </c>
      <c r="F26" s="238">
        <f ca="1"/>
        <v>1902.3215314090128</v>
      </c>
      <c r="G26" s="238">
        <v>3.1364853182288992</v>
      </c>
      <c r="H26" s="238">
        <v>0</v>
      </c>
      <c r="I26" s="238">
        <f t="shared" ca="1" si="0"/>
        <v>1905.4580167272418</v>
      </c>
      <c r="J26" s="19"/>
      <c r="K26" s="19"/>
      <c r="L26" s="19"/>
    </row>
    <row r="27" spans="2:16" ht="24.9" customHeight="1">
      <c r="B27" s="252"/>
      <c r="C27" s="401" t="s">
        <v>42</v>
      </c>
      <c r="D27" s="401"/>
      <c r="E27" s="238">
        <f ca="1">SUM(E4:E6)</f>
        <v>2051.1611691398393</v>
      </c>
      <c r="F27" s="238">
        <f ca="1">SUM(F4:F26)</f>
        <v>41890.098540518513</v>
      </c>
      <c r="G27" s="238">
        <f>SUM(G4:G26)</f>
        <v>1489.811776229674</v>
      </c>
      <c r="H27" s="238">
        <f t="shared" ref="H27:I27" si="1">SUM(H4:H26)</f>
        <v>0</v>
      </c>
      <c r="I27" s="238">
        <f t="shared" ca="1" si="1"/>
        <v>45431.071485888024</v>
      </c>
      <c r="J27" s="19"/>
      <c r="K27" s="19"/>
      <c r="L27" s="19"/>
    </row>
    <row r="28" spans="2:16" ht="24.9" customHeight="1">
      <c r="B28" s="189"/>
      <c r="C28" s="189"/>
      <c r="D28" s="189"/>
      <c r="H28" s="190"/>
      <c r="J28" s="19"/>
      <c r="K28" s="19"/>
      <c r="L28" s="19"/>
    </row>
    <row r="29" spans="2:16" ht="24.9" customHeight="1">
      <c r="B29" s="19"/>
      <c r="C29" s="19"/>
      <c r="D29" s="19"/>
      <c r="E29" s="19"/>
      <c r="F29" s="19"/>
      <c r="G29" s="19"/>
      <c r="H29" s="19"/>
      <c r="I29" s="19"/>
      <c r="J29" s="19"/>
      <c r="K29" s="19"/>
      <c r="L29" s="19"/>
      <c r="M29" s="19"/>
      <c r="N29" s="19"/>
    </row>
    <row r="30" spans="2:16" ht="24.9" customHeight="1">
      <c r="B30" s="72" t="s">
        <v>303</v>
      </c>
      <c r="C30" s="72"/>
      <c r="D30" s="72"/>
      <c r="E30" s="72"/>
      <c r="F30" s="72"/>
      <c r="G30" s="72"/>
      <c r="H30" s="72"/>
      <c r="I30" s="72"/>
      <c r="J30" s="72"/>
      <c r="K30" s="72"/>
      <c r="L30" s="72"/>
      <c r="M30" s="72"/>
      <c r="N30" s="19"/>
    </row>
    <row r="31" spans="2:16" ht="104.4">
      <c r="B31" s="71" t="s">
        <v>56</v>
      </c>
      <c r="C31" s="71" t="s">
        <v>295</v>
      </c>
      <c r="D31" s="71" t="s">
        <v>296</v>
      </c>
      <c r="E31" s="71" t="s">
        <v>304</v>
      </c>
      <c r="F31" s="71" t="s">
        <v>305</v>
      </c>
      <c r="G31" s="71" t="s">
        <v>306</v>
      </c>
      <c r="H31" s="71" t="s">
        <v>307</v>
      </c>
      <c r="I31" s="71" t="s">
        <v>308</v>
      </c>
      <c r="J31" s="71" t="s">
        <v>309</v>
      </c>
      <c r="K31" s="71" t="s">
        <v>310</v>
      </c>
      <c r="L31" s="71" t="s">
        <v>311</v>
      </c>
      <c r="M31" s="71" t="s">
        <v>396</v>
      </c>
      <c r="N31" s="22"/>
    </row>
    <row r="32" spans="2:16" ht="24.9" customHeight="1">
      <c r="B32" s="331">
        <v>1</v>
      </c>
      <c r="C32" s="331">
        <v>2022</v>
      </c>
      <c r="D32" s="331" t="s">
        <v>75</v>
      </c>
      <c r="E32" s="153">
        <f ca="1">I4</f>
        <v>1395.4644776559358</v>
      </c>
      <c r="F32" s="238">
        <f ca="1">E32</f>
        <v>1395.4644776559358</v>
      </c>
      <c r="G32" s="238">
        <v>0</v>
      </c>
      <c r="H32" s="238" t="s">
        <v>507</v>
      </c>
      <c r="I32" s="238">
        <v>0</v>
      </c>
      <c r="J32" s="238">
        <v>0</v>
      </c>
      <c r="K32" s="331" cm="1">
        <f t="array" ref="K32:K54">TRANSPOSE(财承简表!D11:Z11)</f>
        <v>7736.45</v>
      </c>
      <c r="L32" s="352" cm="1">
        <f t="array" ref="L32:L54">TRANSPOSE(财承简表!D9:Z9)</f>
        <v>195642.5724</v>
      </c>
      <c r="M32" s="332">
        <f ca="1">(F32+G32+K32)/L32</f>
        <v>4.6676520174685328E-2</v>
      </c>
      <c r="N32" s="20"/>
      <c r="O32" s="325">
        <f ca="1">F32+K32</f>
        <v>9131.9144776559351</v>
      </c>
      <c r="P32" s="325">
        <f ca="1">O32-K32-I4</f>
        <v>0</v>
      </c>
    </row>
    <row r="33" spans="2:21" ht="24.9" customHeight="1">
      <c r="B33" s="331">
        <v>2</v>
      </c>
      <c r="C33" s="331">
        <v>2023</v>
      </c>
      <c r="D33" s="331" t="s">
        <v>75</v>
      </c>
      <c r="E33" s="153">
        <f t="shared" ref="E33:E55" ca="1" si="2">I5</f>
        <v>1046.5983582419517</v>
      </c>
      <c r="F33" s="238">
        <f t="shared" ref="F33:F55" ca="1" si="3">E33</f>
        <v>1046.5983582419517</v>
      </c>
      <c r="G33" s="238">
        <v>0</v>
      </c>
      <c r="H33" s="238" t="s">
        <v>507</v>
      </c>
      <c r="I33" s="238">
        <v>0</v>
      </c>
      <c r="J33" s="238">
        <v>0</v>
      </c>
      <c r="K33" s="331">
        <v>7736.45</v>
      </c>
      <c r="L33" s="352">
        <v>193216.60450224002</v>
      </c>
      <c r="M33" s="378">
        <f t="shared" ref="M33:M54" ca="1" si="4">(F33+G33+K33)/L33</f>
        <v>4.5457006041839054E-2</v>
      </c>
      <c r="N33" s="20"/>
      <c r="O33" s="325">
        <f t="shared" ref="O33:O54" ca="1" si="5">F33+K33</f>
        <v>8783.0483582419511</v>
      </c>
      <c r="P33" s="325">
        <f t="shared" ref="P33:P54" ca="1" si="6">O33-K33-I5</f>
        <v>0</v>
      </c>
    </row>
    <row r="34" spans="2:21" ht="24.9" customHeight="1">
      <c r="B34" s="331">
        <v>3</v>
      </c>
      <c r="C34" s="331">
        <v>2024</v>
      </c>
      <c r="D34" s="331" t="s">
        <v>75</v>
      </c>
      <c r="E34" s="153">
        <f t="shared" ca="1" si="2"/>
        <v>1046.5983582419517</v>
      </c>
      <c r="F34" s="238">
        <f t="shared" ca="1" si="3"/>
        <v>1046.5983582419517</v>
      </c>
      <c r="G34" s="238">
        <v>0</v>
      </c>
      <c r="H34" s="238" t="s">
        <v>507</v>
      </c>
      <c r="I34" s="238">
        <v>0</v>
      </c>
      <c r="J34" s="238">
        <v>0</v>
      </c>
      <c r="K34" s="331">
        <v>7736.45</v>
      </c>
      <c r="L34" s="352">
        <v>190820.71860641227</v>
      </c>
      <c r="M34" s="378">
        <f t="shared" ca="1" si="4"/>
        <v>4.6027750143619935E-2</v>
      </c>
      <c r="N34" s="20"/>
      <c r="O34" s="325">
        <f t="shared" ca="1" si="5"/>
        <v>8783.0483582419511</v>
      </c>
      <c r="P34" s="325">
        <f t="shared" ca="1" si="6"/>
        <v>0</v>
      </c>
    </row>
    <row r="35" spans="2:21" ht="24.9" customHeight="1">
      <c r="B35" s="331">
        <v>4</v>
      </c>
      <c r="C35" s="331">
        <v>2025</v>
      </c>
      <c r="D35" s="331" t="s">
        <v>302</v>
      </c>
      <c r="E35" s="153">
        <f t="shared" ca="1" si="2"/>
        <v>2254.9215401094066</v>
      </c>
      <c r="F35" s="238">
        <f t="shared" ca="1" si="3"/>
        <v>2254.9215401094066</v>
      </c>
      <c r="G35" s="238">
        <v>0</v>
      </c>
      <c r="H35" s="238" t="s">
        <v>507</v>
      </c>
      <c r="I35" s="238">
        <v>0</v>
      </c>
      <c r="J35" s="238">
        <v>0</v>
      </c>
      <c r="K35" s="331">
        <v>7736.45</v>
      </c>
      <c r="L35" s="352">
        <v>188454.54169569275</v>
      </c>
      <c r="M35" s="378">
        <f t="shared" ca="1" si="4"/>
        <v>5.3017409133301698E-2</v>
      </c>
      <c r="N35" s="20"/>
      <c r="O35" s="325">
        <f t="shared" ca="1" si="5"/>
        <v>9991.3715401094069</v>
      </c>
      <c r="P35" s="325">
        <f t="shared" ca="1" si="6"/>
        <v>0</v>
      </c>
    </row>
    <row r="36" spans="2:21" ht="24.9" customHeight="1">
      <c r="B36" s="331">
        <v>5</v>
      </c>
      <c r="C36" s="331">
        <v>2026</v>
      </c>
      <c r="D36" s="331" t="s">
        <v>302</v>
      </c>
      <c r="E36" s="153">
        <f t="shared" ca="1" si="2"/>
        <v>2256.8783597094066</v>
      </c>
      <c r="F36" s="238">
        <f t="shared" ca="1" si="3"/>
        <v>2256.8783597094066</v>
      </c>
      <c r="G36" s="238">
        <v>0</v>
      </c>
      <c r="H36" s="238" t="s">
        <v>507</v>
      </c>
      <c r="I36" s="238">
        <v>0</v>
      </c>
      <c r="J36" s="238">
        <v>0</v>
      </c>
      <c r="K36" s="331">
        <v>7736.45</v>
      </c>
      <c r="L36" s="352">
        <v>186117.70537866617</v>
      </c>
      <c r="M36" s="378">
        <f t="shared" ca="1" si="4"/>
        <v>5.3693593198870897E-2</v>
      </c>
      <c r="N36" s="20"/>
      <c r="O36" s="325">
        <f t="shared" ca="1" si="5"/>
        <v>9993.3283597094069</v>
      </c>
      <c r="P36" s="325">
        <f t="shared" ca="1" si="6"/>
        <v>0</v>
      </c>
    </row>
    <row r="37" spans="2:21" ht="24.9" customHeight="1">
      <c r="B37" s="331">
        <v>6</v>
      </c>
      <c r="C37" s="331">
        <v>2027</v>
      </c>
      <c r="D37" s="331" t="s">
        <v>302</v>
      </c>
      <c r="E37" s="153">
        <f t="shared" ca="1" si="2"/>
        <v>2258.8743157014064</v>
      </c>
      <c r="F37" s="238">
        <f t="shared" ca="1" si="3"/>
        <v>2258.8743157014064</v>
      </c>
      <c r="G37" s="238">
        <v>0</v>
      </c>
      <c r="H37" s="238" t="s">
        <v>507</v>
      </c>
      <c r="I37" s="238">
        <v>0</v>
      </c>
      <c r="J37" s="238">
        <v>0</v>
      </c>
      <c r="K37" s="331">
        <v>7736.45</v>
      </c>
      <c r="L37" s="352">
        <v>183809.84583197071</v>
      </c>
      <c r="M37" s="378">
        <f t="shared" ca="1" si="4"/>
        <v>5.437861214920231E-2</v>
      </c>
      <c r="N37" s="20"/>
      <c r="O37" s="325">
        <f t="shared" ca="1" si="5"/>
        <v>9995.3243157014058</v>
      </c>
      <c r="P37" s="325">
        <f t="shared" ca="1" si="6"/>
        <v>0</v>
      </c>
    </row>
    <row r="38" spans="2:21" ht="24.9" customHeight="1">
      <c r="B38" s="331">
        <v>7</v>
      </c>
      <c r="C38" s="331">
        <v>2028</v>
      </c>
      <c r="D38" s="331" t="s">
        <v>302</v>
      </c>
      <c r="E38" s="153">
        <f t="shared" ca="1" si="2"/>
        <v>2202.9620243132467</v>
      </c>
      <c r="F38" s="238">
        <f t="shared" ca="1" si="3"/>
        <v>2202.9620243132467</v>
      </c>
      <c r="G38" s="238">
        <v>0</v>
      </c>
      <c r="H38" s="238" t="s">
        <v>507</v>
      </c>
      <c r="I38" s="238">
        <v>0</v>
      </c>
      <c r="J38" s="238">
        <v>0</v>
      </c>
      <c r="K38" s="331">
        <v>7736.45</v>
      </c>
      <c r="L38" s="352">
        <v>181530.60374365427</v>
      </c>
      <c r="M38" s="378">
        <f t="shared" ca="1" si="4"/>
        <v>5.4753368409158371E-2</v>
      </c>
      <c r="N38" s="20"/>
      <c r="O38" s="325">
        <f ca="1">F38+K38</f>
        <v>9939.4120243132456</v>
      </c>
      <c r="P38" s="325">
        <f ca="1">O38-K38-I10</f>
        <v>0</v>
      </c>
    </row>
    <row r="39" spans="2:21" ht="24.9" customHeight="1">
      <c r="B39" s="331">
        <v>8</v>
      </c>
      <c r="C39" s="331">
        <v>2029</v>
      </c>
      <c r="D39" s="331" t="s">
        <v>302</v>
      </c>
      <c r="E39" s="153">
        <f t="shared" ca="1" si="2"/>
        <v>2205.0386169273233</v>
      </c>
      <c r="F39" s="238">
        <f t="shared" ca="1" si="3"/>
        <v>2205.0386169273233</v>
      </c>
      <c r="G39" s="238">
        <v>0</v>
      </c>
      <c r="H39" s="238" t="s">
        <v>507</v>
      </c>
      <c r="I39" s="238">
        <v>0</v>
      </c>
      <c r="J39" s="238">
        <v>0</v>
      </c>
      <c r="K39" s="331">
        <v>7736.45</v>
      </c>
      <c r="L39" s="352">
        <v>179279.62425723296</v>
      </c>
      <c r="M39" s="378">
        <f t="shared" ca="1" si="4"/>
        <v>5.5452417741924387E-2</v>
      </c>
      <c r="N39" s="20"/>
      <c r="O39" s="325">
        <f ca="1">F39+K39</f>
        <v>9941.4886169273232</v>
      </c>
      <c r="P39" s="325">
        <f t="shared" ca="1" si="6"/>
        <v>0</v>
      </c>
    </row>
    <row r="40" spans="2:21" ht="24.9" customHeight="1">
      <c r="B40" s="331">
        <v>9</v>
      </c>
      <c r="C40" s="331">
        <v>2030</v>
      </c>
      <c r="D40" s="331" t="s">
        <v>302</v>
      </c>
      <c r="E40" s="153">
        <f t="shared" ca="1" si="2"/>
        <v>2207.1567413936814</v>
      </c>
      <c r="F40" s="238">
        <f t="shared" ca="1" si="3"/>
        <v>2207.1567413936814</v>
      </c>
      <c r="G40" s="238">
        <v>0</v>
      </c>
      <c r="H40" s="238" t="s">
        <v>507</v>
      </c>
      <c r="I40" s="238">
        <v>0</v>
      </c>
      <c r="J40" s="238">
        <v>0</v>
      </c>
      <c r="K40" s="238">
        <v>0</v>
      </c>
      <c r="L40" s="352">
        <v>177056.55691644328</v>
      </c>
      <c r="M40" s="378">
        <f t="shared" ca="1" si="4"/>
        <v>1.24658288844693E-2</v>
      </c>
      <c r="N40" s="20"/>
      <c r="O40" s="325">
        <f t="shared" ca="1" si="5"/>
        <v>2207.1567413936814</v>
      </c>
      <c r="P40" s="325">
        <f t="shared" ca="1" si="6"/>
        <v>0</v>
      </c>
    </row>
    <row r="41" spans="2:21" ht="24.9" customHeight="1">
      <c r="B41" s="331">
        <v>10</v>
      </c>
      <c r="C41" s="331">
        <v>2031</v>
      </c>
      <c r="D41" s="331" t="s">
        <v>302</v>
      </c>
      <c r="E41" s="153">
        <f t="shared" ca="1" si="2"/>
        <v>2148.471653524367</v>
      </c>
      <c r="F41" s="238">
        <f t="shared" ca="1" si="3"/>
        <v>2148.471653524367</v>
      </c>
      <c r="G41" s="238">
        <v>0</v>
      </c>
      <c r="H41" s="238" t="s">
        <v>507</v>
      </c>
      <c r="I41" s="238">
        <v>0</v>
      </c>
      <c r="J41" s="238">
        <v>0</v>
      </c>
      <c r="K41" s="238">
        <v>0</v>
      </c>
      <c r="L41" s="352">
        <v>174861.05561067938</v>
      </c>
      <c r="M41" s="378">
        <f t="shared" ca="1" si="4"/>
        <v>1.228673615186132E-2</v>
      </c>
      <c r="N41" s="20"/>
      <c r="O41" s="325">
        <f t="shared" ca="1" si="5"/>
        <v>2148.471653524367</v>
      </c>
      <c r="P41" s="325">
        <f t="shared" ca="1" si="6"/>
        <v>0</v>
      </c>
    </row>
    <row r="42" spans="2:21" ht="24.9" customHeight="1">
      <c r="B42" s="331">
        <v>11</v>
      </c>
      <c r="C42" s="331">
        <v>2032</v>
      </c>
      <c r="D42" s="331" t="s">
        <v>302</v>
      </c>
      <c r="E42" s="153">
        <f t="shared" ca="1" si="2"/>
        <v>2150.6753502191664</v>
      </c>
      <c r="F42" s="238">
        <f t="shared" ca="1" si="3"/>
        <v>2150.6753502191664</v>
      </c>
      <c r="G42" s="238">
        <v>0</v>
      </c>
      <c r="H42" s="238" t="s">
        <v>507</v>
      </c>
      <c r="I42" s="238">
        <v>0</v>
      </c>
      <c r="J42" s="238">
        <v>0</v>
      </c>
      <c r="K42" s="238">
        <v>0</v>
      </c>
      <c r="L42" s="352">
        <v>172692.77852110696</v>
      </c>
      <c r="M42" s="378">
        <f t="shared" ca="1" si="4"/>
        <v>1.2453765401407942E-2</v>
      </c>
      <c r="N42" s="20"/>
      <c r="O42" s="325">
        <f t="shared" ca="1" si="5"/>
        <v>2150.6753502191664</v>
      </c>
      <c r="P42" s="325">
        <f t="shared" ca="1" si="6"/>
        <v>0</v>
      </c>
    </row>
    <row r="43" spans="2:21" ht="24.9" customHeight="1">
      <c r="B43" s="331">
        <v>12</v>
      </c>
      <c r="C43" s="331">
        <v>2033</v>
      </c>
      <c r="D43" s="331" t="s">
        <v>302</v>
      </c>
      <c r="E43" s="153">
        <f t="shared" ca="1" si="2"/>
        <v>2152.9231208478614</v>
      </c>
      <c r="F43" s="238">
        <f t="shared" ca="1" si="3"/>
        <v>2152.9231208478614</v>
      </c>
      <c r="G43" s="238">
        <v>0</v>
      </c>
      <c r="H43" s="238" t="s">
        <v>507</v>
      </c>
      <c r="I43" s="238">
        <v>0</v>
      </c>
      <c r="J43" s="238">
        <v>0</v>
      </c>
      <c r="K43" s="238">
        <v>0</v>
      </c>
      <c r="L43" s="352">
        <v>170552</v>
      </c>
      <c r="M43" s="378">
        <f t="shared" ca="1" si="4"/>
        <v>1.2623265167502354E-2</v>
      </c>
      <c r="N43" s="20"/>
      <c r="O43" s="325">
        <f t="shared" ca="1" si="5"/>
        <v>2152.9231208478614</v>
      </c>
      <c r="P43" s="325">
        <f t="shared" ca="1" si="6"/>
        <v>0</v>
      </c>
    </row>
    <row r="44" spans="2:21" ht="24.9" customHeight="1">
      <c r="B44" s="331">
        <v>13</v>
      </c>
      <c r="C44" s="331">
        <v>2034</v>
      </c>
      <c r="D44" s="331" t="s">
        <v>302</v>
      </c>
      <c r="E44" s="153">
        <f t="shared" ca="1" si="2"/>
        <v>2091.3279933228805</v>
      </c>
      <c r="F44" s="238">
        <f t="shared" ca="1" si="3"/>
        <v>2091.3279933228805</v>
      </c>
      <c r="G44" s="238">
        <v>0</v>
      </c>
      <c r="H44" s="238" t="s">
        <v>507</v>
      </c>
      <c r="I44" s="238">
        <v>0</v>
      </c>
      <c r="J44" s="238">
        <v>0</v>
      </c>
      <c r="K44" s="238">
        <v>0</v>
      </c>
      <c r="L44" s="352">
        <v>168437.15520000001</v>
      </c>
      <c r="M44" s="378">
        <f t="shared" ca="1" si="4"/>
        <v>1.2416072872043379E-2</v>
      </c>
      <c r="N44" s="20"/>
      <c r="O44" s="325">
        <f t="shared" ca="1" si="5"/>
        <v>2091.3279933228805</v>
      </c>
      <c r="P44" s="325">
        <f t="shared" ca="1" si="6"/>
        <v>0</v>
      </c>
    </row>
    <row r="45" spans="2:21" ht="24.9" customHeight="1">
      <c r="B45" s="331">
        <v>14</v>
      </c>
      <c r="C45" s="331">
        <v>2035</v>
      </c>
      <c r="D45" s="331" t="s">
        <v>302</v>
      </c>
      <c r="E45" s="153">
        <f t="shared" ca="1" si="2"/>
        <v>2093.6665738849747</v>
      </c>
      <c r="F45" s="238">
        <f t="shared" ca="1" si="3"/>
        <v>2093.6665738849747</v>
      </c>
      <c r="G45" s="238">
        <v>0</v>
      </c>
      <c r="H45" s="238" t="s">
        <v>507</v>
      </c>
      <c r="I45" s="238">
        <v>0</v>
      </c>
      <c r="J45" s="238">
        <v>0</v>
      </c>
      <c r="K45" s="238">
        <v>0</v>
      </c>
      <c r="L45" s="352">
        <v>166348</v>
      </c>
      <c r="M45" s="378">
        <f t="shared" ca="1" si="4"/>
        <v>1.25860639976734E-2</v>
      </c>
      <c r="N45" s="20"/>
      <c r="O45" s="325">
        <f t="shared" ca="1" si="5"/>
        <v>2093.6665738849747</v>
      </c>
      <c r="P45" s="325">
        <f t="shared" ca="1" si="6"/>
        <v>0</v>
      </c>
      <c r="U45" s="377">
        <v>3936131.4691853006</v>
      </c>
    </row>
    <row r="46" spans="2:21" ht="24.9" customHeight="1">
      <c r="B46" s="331">
        <v>15</v>
      </c>
      <c r="C46" s="331">
        <v>2036</v>
      </c>
      <c r="D46" s="331" t="s">
        <v>302</v>
      </c>
      <c r="E46" s="153">
        <f t="shared" ca="1" si="2"/>
        <v>2096.0519260583119</v>
      </c>
      <c r="F46" s="238">
        <f t="shared" ca="1" si="3"/>
        <v>2096.0519260583119</v>
      </c>
      <c r="G46" s="238">
        <v>0</v>
      </c>
      <c r="H46" s="238" t="s">
        <v>507</v>
      </c>
      <c r="I46" s="238">
        <v>0</v>
      </c>
      <c r="J46" s="238">
        <v>0</v>
      </c>
      <c r="K46" s="238">
        <v>0</v>
      </c>
      <c r="L46" s="352">
        <v>164285.28479999999</v>
      </c>
      <c r="M46" s="378">
        <f t="shared" ca="1" si="4"/>
        <v>1.2758610295560153E-2</v>
      </c>
      <c r="N46" s="20"/>
      <c r="O46" s="325">
        <f t="shared" ca="1" si="5"/>
        <v>2096.0519260583119</v>
      </c>
      <c r="P46" s="325">
        <f t="shared" ca="1" si="6"/>
        <v>0</v>
      </c>
    </row>
    <row r="47" spans="2:21" ht="24.9" customHeight="1">
      <c r="B47" s="331">
        <v>16</v>
      </c>
      <c r="C47" s="331">
        <v>2037</v>
      </c>
      <c r="D47" s="331" t="s">
        <v>302</v>
      </c>
      <c r="E47" s="153">
        <f t="shared" ca="1" si="2"/>
        <v>2031.4027390305519</v>
      </c>
      <c r="F47" s="238">
        <f t="shared" ca="1" si="3"/>
        <v>2031.4027390305519</v>
      </c>
      <c r="G47" s="238">
        <v>0</v>
      </c>
      <c r="H47" s="238" t="s">
        <v>507</v>
      </c>
      <c r="I47" s="238">
        <v>0</v>
      </c>
      <c r="J47" s="238">
        <v>0</v>
      </c>
      <c r="K47" s="238">
        <v>0</v>
      </c>
      <c r="L47" s="352">
        <v>162248.14726848001</v>
      </c>
      <c r="M47" s="378">
        <f t="shared" ca="1" si="4"/>
        <v>1.2520344751111946E-2</v>
      </c>
      <c r="N47" s="20"/>
      <c r="O47" s="325">
        <f t="shared" ca="1" si="5"/>
        <v>2031.4027390305519</v>
      </c>
      <c r="P47" s="325">
        <f t="shared" ca="1" si="6"/>
        <v>0</v>
      </c>
    </row>
    <row r="48" spans="2:21" ht="24.9" customHeight="1">
      <c r="B48" s="331">
        <v>17</v>
      </c>
      <c r="C48" s="331">
        <v>2038</v>
      </c>
      <c r="D48" s="331" t="s">
        <v>302</v>
      </c>
      <c r="E48" s="153">
        <f t="shared" ca="1" si="2"/>
        <v>2033.8844594316911</v>
      </c>
      <c r="F48" s="238">
        <f t="shared" ca="1" si="3"/>
        <v>2033.8844594316911</v>
      </c>
      <c r="G48" s="238">
        <v>0</v>
      </c>
      <c r="H48" s="238" t="s">
        <v>507</v>
      </c>
      <c r="I48" s="238">
        <v>0</v>
      </c>
      <c r="J48" s="238">
        <v>0</v>
      </c>
      <c r="K48" s="238">
        <v>0</v>
      </c>
      <c r="L48" s="352">
        <v>160236.27024235087</v>
      </c>
      <c r="M48" s="378">
        <f t="shared" ca="1" si="4"/>
        <v>1.2693034207271071E-2</v>
      </c>
      <c r="N48" s="20"/>
      <c r="O48" s="325">
        <f t="shared" ca="1" si="5"/>
        <v>2033.8844594316911</v>
      </c>
      <c r="P48" s="325">
        <f t="shared" ca="1" si="6"/>
        <v>0</v>
      </c>
    </row>
    <row r="49" spans="2:18" ht="24.9" customHeight="1">
      <c r="B49" s="331">
        <v>18</v>
      </c>
      <c r="C49" s="331">
        <v>2039</v>
      </c>
      <c r="D49" s="331" t="s">
        <v>302</v>
      </c>
      <c r="E49" s="153">
        <f t="shared" ca="1" si="2"/>
        <v>2036.4158142408528</v>
      </c>
      <c r="F49" s="238">
        <f t="shared" ca="1" si="3"/>
        <v>2036.4158142408528</v>
      </c>
      <c r="G49" s="238">
        <v>0</v>
      </c>
      <c r="H49" s="238" t="s">
        <v>507</v>
      </c>
      <c r="I49" s="238">
        <v>0</v>
      </c>
      <c r="J49" s="238">
        <v>0</v>
      </c>
      <c r="K49" s="238">
        <v>0</v>
      </c>
      <c r="L49" s="352">
        <v>158249.34049134573</v>
      </c>
      <c r="M49" s="378">
        <f t="shared" ca="1" si="4"/>
        <v>1.286840000671105E-2</v>
      </c>
      <c r="N49" s="19"/>
      <c r="O49" s="325">
        <f t="shared" ca="1" si="5"/>
        <v>2036.4158142408528</v>
      </c>
      <c r="P49" s="325">
        <f t="shared" ca="1" si="6"/>
        <v>0</v>
      </c>
    </row>
    <row r="50" spans="2:18" ht="24.9" customHeight="1">
      <c r="B50" s="331">
        <v>19</v>
      </c>
      <c r="C50" s="331">
        <v>2040</v>
      </c>
      <c r="D50" s="331" t="s">
        <v>302</v>
      </c>
      <c r="E50" s="153">
        <f t="shared" ca="1" si="2"/>
        <v>1968.5614375894077</v>
      </c>
      <c r="F50" s="238">
        <f t="shared" ca="1" si="3"/>
        <v>1968.5614375894077</v>
      </c>
      <c r="G50" s="238">
        <v>0</v>
      </c>
      <c r="H50" s="238" t="s">
        <v>507</v>
      </c>
      <c r="I50" s="238">
        <v>0</v>
      </c>
      <c r="J50" s="238">
        <v>0</v>
      </c>
      <c r="K50" s="238">
        <v>0</v>
      </c>
      <c r="L50" s="352">
        <v>156287.04866925304</v>
      </c>
      <c r="M50" s="378">
        <f t="shared" ca="1" si="4"/>
        <v>1.2595806590189263E-2</v>
      </c>
      <c r="N50" s="19"/>
      <c r="O50" s="325">
        <f t="shared" ca="1" si="5"/>
        <v>1968.5614375894077</v>
      </c>
      <c r="P50" s="325">
        <f t="shared" ca="1" si="6"/>
        <v>0</v>
      </c>
    </row>
    <row r="51" spans="2:18" ht="24.9" customHeight="1">
      <c r="B51" s="331">
        <v>20</v>
      </c>
      <c r="C51" s="331">
        <v>2041</v>
      </c>
      <c r="D51" s="331" t="s">
        <v>302</v>
      </c>
      <c r="E51" s="153">
        <f t="shared" ca="1" si="2"/>
        <v>1971.1950591328593</v>
      </c>
      <c r="F51" s="238">
        <f t="shared" ca="1" si="3"/>
        <v>1971.1950591328593</v>
      </c>
      <c r="G51" s="238">
        <v>0</v>
      </c>
      <c r="H51" s="238" t="s">
        <v>507</v>
      </c>
      <c r="I51" s="238">
        <v>0</v>
      </c>
      <c r="J51" s="238">
        <v>0</v>
      </c>
      <c r="K51" s="238">
        <v>0</v>
      </c>
      <c r="L51" s="352">
        <v>154349.0892657543</v>
      </c>
      <c r="M51" s="378">
        <f t="shared" ca="1" si="4"/>
        <v>1.27710184006263E-2</v>
      </c>
      <c r="N51" s="19"/>
      <c r="O51" s="325">
        <f t="shared" ca="1" si="5"/>
        <v>1971.1950591328593</v>
      </c>
      <c r="P51" s="325">
        <f t="shared" ca="1" si="6"/>
        <v>0</v>
      </c>
    </row>
    <row r="52" spans="2:18" ht="24.9" customHeight="1">
      <c r="B52" s="331">
        <v>21</v>
      </c>
      <c r="C52" s="331">
        <v>2042</v>
      </c>
      <c r="D52" s="331" t="s">
        <v>302</v>
      </c>
      <c r="E52" s="153">
        <f t="shared" ca="1" si="2"/>
        <v>1973.8813531071808</v>
      </c>
      <c r="F52" s="238">
        <f t="shared" ca="1" si="3"/>
        <v>1973.8813531071808</v>
      </c>
      <c r="G52" s="238">
        <v>0</v>
      </c>
      <c r="H52" s="238" t="s">
        <v>507</v>
      </c>
      <c r="I52" s="238">
        <v>0</v>
      </c>
      <c r="J52" s="238">
        <v>0</v>
      </c>
      <c r="K52" s="238">
        <v>0</v>
      </c>
      <c r="L52" s="352">
        <v>152435.16055885894</v>
      </c>
      <c r="M52" s="378">
        <f t="shared" ca="1" si="4"/>
        <v>1.2948989890983956E-2</v>
      </c>
      <c r="N52" s="19"/>
      <c r="O52" s="325">
        <f t="shared" ca="1" si="5"/>
        <v>1973.8813531071808</v>
      </c>
      <c r="P52" s="325">
        <f t="shared" ca="1" si="6"/>
        <v>0</v>
      </c>
    </row>
    <row r="53" spans="2:18" ht="24.9" customHeight="1">
      <c r="B53" s="331">
        <v>22</v>
      </c>
      <c r="C53" s="331">
        <v>2043</v>
      </c>
      <c r="D53" s="331" t="s">
        <v>302</v>
      </c>
      <c r="E53" s="153">
        <f t="shared" ca="1" si="2"/>
        <v>1902.6631964763578</v>
      </c>
      <c r="F53" s="238">
        <f t="shared" ca="1" si="3"/>
        <v>1902.6631964763578</v>
      </c>
      <c r="G53" s="238">
        <v>0</v>
      </c>
      <c r="H53" s="238" t="s">
        <v>507</v>
      </c>
      <c r="I53" s="238">
        <v>0</v>
      </c>
      <c r="J53" s="238">
        <v>0</v>
      </c>
      <c r="K53" s="238">
        <v>0</v>
      </c>
      <c r="L53" s="352">
        <v>150544.9645679291</v>
      </c>
      <c r="M53" s="378">
        <f t="shared" ca="1" si="4"/>
        <v>1.2638504395926412E-2</v>
      </c>
      <c r="N53" s="19"/>
      <c r="O53" s="325">
        <f t="shared" ca="1" si="5"/>
        <v>1902.6631964763578</v>
      </c>
      <c r="P53" s="325">
        <f t="shared" ca="1" si="6"/>
        <v>0</v>
      </c>
    </row>
    <row r="54" spans="2:18" ht="24.9" customHeight="1">
      <c r="B54" s="331">
        <v>23</v>
      </c>
      <c r="C54" s="331">
        <v>2044</v>
      </c>
      <c r="D54" s="331" t="s">
        <v>302</v>
      </c>
      <c r="E54" s="153">
        <f t="shared" ca="1" si="2"/>
        <v>1905.4580167272418</v>
      </c>
      <c r="F54" s="238">
        <f t="shared" ca="1" si="3"/>
        <v>1905.4580167272418</v>
      </c>
      <c r="G54" s="238">
        <v>0</v>
      </c>
      <c r="H54" s="238" t="s">
        <v>507</v>
      </c>
      <c r="I54" s="238">
        <v>0</v>
      </c>
      <c r="J54" s="238">
        <v>0</v>
      </c>
      <c r="K54" s="238">
        <v>0</v>
      </c>
      <c r="L54" s="352">
        <v>148678.20700728678</v>
      </c>
      <c r="M54" s="378">
        <f t="shared" ca="1" si="4"/>
        <v>1.2815987326467116E-2</v>
      </c>
      <c r="N54" s="19"/>
      <c r="O54" s="325">
        <f t="shared" ca="1" si="5"/>
        <v>1905.4580167272418</v>
      </c>
      <c r="P54" s="325">
        <f t="shared" ca="1" si="6"/>
        <v>0</v>
      </c>
    </row>
    <row r="55" spans="2:18" s="21" customFormat="1" ht="24.9" customHeight="1">
      <c r="B55" s="374">
        <v>24</v>
      </c>
      <c r="C55" s="374" t="s">
        <v>42</v>
      </c>
      <c r="D55" s="374"/>
      <c r="E55" s="153">
        <f t="shared" ca="1" si="2"/>
        <v>45431.071485888024</v>
      </c>
      <c r="F55" s="238">
        <f t="shared" ca="1" si="3"/>
        <v>45431.071485888024</v>
      </c>
      <c r="G55" s="238">
        <v>0</v>
      </c>
      <c r="H55" s="238" t="s">
        <v>507</v>
      </c>
      <c r="I55" s="238">
        <v>0</v>
      </c>
      <c r="J55" s="238">
        <v>0</v>
      </c>
      <c r="K55" s="153">
        <f t="shared" ref="K55" si="7">SUM(K32:K54)</f>
        <v>61891.599999999991</v>
      </c>
      <c r="L55" s="377">
        <v>3936135</v>
      </c>
      <c r="M55" s="374"/>
      <c r="N55" s="376"/>
      <c r="O55" s="5">
        <f ca="1">MIN(M32:M54)</f>
        <v>1.228673615186132E-2</v>
      </c>
      <c r="P55" s="5">
        <f ca="1">MAX(M32:M54)</f>
        <v>5.5452417741924387E-2</v>
      </c>
      <c r="R55" s="404">
        <f>SUM(_xlfn.ANCHORARRAY(L32))</f>
        <v>3936133.2755353581</v>
      </c>
    </row>
    <row r="56" spans="2:18" ht="30.9" customHeight="1">
      <c r="E56" s="325"/>
    </row>
    <row r="58" spans="2:18">
      <c r="E58" s="325"/>
    </row>
  </sheetData>
  <phoneticPr fontId="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5"/>
  <sheetViews>
    <sheetView workbookViewId="0">
      <selection activeCell="L10" sqref="L10"/>
    </sheetView>
  </sheetViews>
  <sheetFormatPr defaultColWidth="11" defaultRowHeight="15.6"/>
  <cols>
    <col min="4" max="4" width="12.453125" bestFit="1" customWidth="1"/>
  </cols>
  <sheetData>
    <row r="2" spans="2:28" ht="87">
      <c r="B2" s="293" t="s">
        <v>7</v>
      </c>
      <c r="C2" s="293" t="s">
        <v>505</v>
      </c>
      <c r="D2" s="405" t="s">
        <v>538</v>
      </c>
      <c r="E2" s="405" t="s">
        <v>541</v>
      </c>
      <c r="F2" s="405" t="s">
        <v>542</v>
      </c>
      <c r="G2" s="405" t="s">
        <v>539</v>
      </c>
      <c r="H2" s="405" t="s">
        <v>540</v>
      </c>
    </row>
    <row r="3" spans="2:28" ht="17.399999999999999">
      <c r="B3" s="293">
        <v>1</v>
      </c>
      <c r="C3" s="293">
        <v>2022</v>
      </c>
      <c r="D3" s="410">
        <f ca="1">'17财政承受能力论证'!E32</f>
        <v>1395.4644776559358</v>
      </c>
      <c r="E3" s="410">
        <f>L6</f>
        <v>517.46145542792692</v>
      </c>
      <c r="F3" s="293">
        <f>'17财政承受能力论证'!K32</f>
        <v>7736.45</v>
      </c>
      <c r="G3" s="411">
        <f>'17财政承受能力论证'!L32</f>
        <v>195642.5724</v>
      </c>
      <c r="H3" s="412">
        <f ca="1">(D3+E3+F3)/G3</f>
        <v>4.9321452967584584E-2</v>
      </c>
    </row>
    <row r="4" spans="2:28" ht="17.399999999999999">
      <c r="B4" s="293">
        <v>2</v>
      </c>
      <c r="C4" s="293">
        <v>2023</v>
      </c>
      <c r="D4" s="410">
        <f ca="1">'17财政承受能力论证'!E33</f>
        <v>1046.5983582419517</v>
      </c>
      <c r="E4" s="410">
        <f t="shared" ref="E4:E19" si="0">L7</f>
        <v>902.66537745451944</v>
      </c>
      <c r="F4" s="293">
        <f>'17财政承受能力论证'!K33</f>
        <v>7736.45</v>
      </c>
      <c r="G4" s="411">
        <f>'17财政承受能力论证'!L33</f>
        <v>193216.60450224002</v>
      </c>
      <c r="H4" s="412">
        <f t="shared" ref="H4:H25" ca="1" si="1">(D4+E4+F4)/G4</f>
        <v>5.0128785570207973E-2</v>
      </c>
      <c r="L4">
        <v>517.46145542792692</v>
      </c>
      <c r="M4">
        <v>902.66537745451944</v>
      </c>
      <c r="N4">
        <v>3392.5185795932075</v>
      </c>
      <c r="O4">
        <v>3376.7378618626371</v>
      </c>
      <c r="P4">
        <v>3366.787794132068</v>
      </c>
      <c r="Q4">
        <v>3265.2360300681644</v>
      </c>
      <c r="R4">
        <v>3247.0973123375943</v>
      </c>
      <c r="S4">
        <v>3245.8127261772061</v>
      </c>
      <c r="T4">
        <v>3094.2662339313856</v>
      </c>
      <c r="U4">
        <v>3066.8209561688982</v>
      </c>
      <c r="V4">
        <v>3039.3656784064106</v>
      </c>
      <c r="W4">
        <v>2847.5573021030909</v>
      </c>
      <c r="X4">
        <v>2857.572981965604</v>
      </c>
      <c r="Y4">
        <v>2852.7029618281167</v>
      </c>
      <c r="Z4">
        <v>2620.0834708572961</v>
      </c>
      <c r="AA4">
        <v>2627.4966144698096</v>
      </c>
      <c r="AB4">
        <v>2638.2369271760717</v>
      </c>
    </row>
    <row r="5" spans="2:28" ht="17.399999999999999">
      <c r="B5" s="293">
        <v>3</v>
      </c>
      <c r="C5" s="293">
        <v>2024</v>
      </c>
      <c r="D5" s="410">
        <f ca="1">'17财政承受能力论证'!E34</f>
        <v>1046.5983582419517</v>
      </c>
      <c r="E5" s="410">
        <f t="shared" si="0"/>
        <v>3392.5185795932075</v>
      </c>
      <c r="F5" s="293">
        <f>'17财政承受能力论证'!K34</f>
        <v>7736.45</v>
      </c>
      <c r="G5" s="411">
        <f>'17财政承受能力论证'!L34</f>
        <v>190820.71860641227</v>
      </c>
      <c r="H5" s="412">
        <f t="shared" ca="1" si="1"/>
        <v>6.3806315303468392E-2</v>
      </c>
    </row>
    <row r="6" spans="2:28" ht="17.399999999999999">
      <c r="B6" s="293">
        <v>4</v>
      </c>
      <c r="C6" s="293">
        <v>2025</v>
      </c>
      <c r="D6" s="410">
        <f ca="1">'17财政承受能力论证'!E35</f>
        <v>2254.9215401094066</v>
      </c>
      <c r="E6" s="410">
        <f t="shared" si="0"/>
        <v>3376.7378618626371</v>
      </c>
      <c r="F6" s="293">
        <f>'17财政承受能力论证'!K35</f>
        <v>7736.45</v>
      </c>
      <c r="G6" s="411">
        <f>'17财政承受能力论证'!L35</f>
        <v>188454.54169569275</v>
      </c>
      <c r="H6" s="412">
        <f t="shared" ca="1" si="1"/>
        <v>7.0935458926525738E-2</v>
      </c>
      <c r="L6">
        <v>517.46145542792692</v>
      </c>
    </row>
    <row r="7" spans="2:28" ht="17.399999999999999">
      <c r="B7" s="293">
        <v>5</v>
      </c>
      <c r="C7" s="293">
        <v>2026</v>
      </c>
      <c r="D7" s="410">
        <f ca="1">'17财政承受能力论证'!E36</f>
        <v>2256.8783597094066</v>
      </c>
      <c r="E7" s="410">
        <f t="shared" si="0"/>
        <v>3366.787794132068</v>
      </c>
      <c r="F7" s="293">
        <f>'17财政承受能力论证'!K36</f>
        <v>7736.45</v>
      </c>
      <c r="G7" s="411">
        <f>'17财政承受能力论证'!L36</f>
        <v>186117.70537866617</v>
      </c>
      <c r="H7" s="412">
        <f t="shared" ca="1" si="1"/>
        <v>7.1783155324527684E-2</v>
      </c>
      <c r="L7">
        <v>902.66537745451944</v>
      </c>
    </row>
    <row r="8" spans="2:28" ht="17.399999999999999">
      <c r="B8" s="293">
        <v>6</v>
      </c>
      <c r="C8" s="293">
        <v>2027</v>
      </c>
      <c r="D8" s="410">
        <f ca="1">'17财政承受能力论证'!E37</f>
        <v>2258.8743157014064</v>
      </c>
      <c r="E8" s="410">
        <f t="shared" si="0"/>
        <v>3265.2360300681644</v>
      </c>
      <c r="F8" s="293">
        <f>'17财政承受能力论证'!K37</f>
        <v>7736.45</v>
      </c>
      <c r="G8" s="411">
        <f>'17财政承受能力论证'!L37</f>
        <v>183809.84583197071</v>
      </c>
      <c r="H8" s="412">
        <f t="shared" ca="1" si="1"/>
        <v>7.2142818496739702E-2</v>
      </c>
      <c r="L8">
        <v>3392.5185795932075</v>
      </c>
    </row>
    <row r="9" spans="2:28" ht="17.399999999999999">
      <c r="B9" s="293">
        <v>7</v>
      </c>
      <c r="C9" s="293">
        <v>2028</v>
      </c>
      <c r="D9" s="410">
        <f ca="1">'17财政承受能力论证'!E38</f>
        <v>2202.9620243132467</v>
      </c>
      <c r="E9" s="410">
        <f t="shared" si="0"/>
        <v>3247.0973123375943</v>
      </c>
      <c r="F9" s="293">
        <f>'17财政承受能力论证'!K38</f>
        <v>7736.45</v>
      </c>
      <c r="G9" s="411">
        <f>'17财政承受能力论证'!L38</f>
        <v>181530.60374365427</v>
      </c>
      <c r="H9" s="412">
        <f t="shared" ca="1" si="1"/>
        <v>7.2640695644200975E-2</v>
      </c>
      <c r="L9">
        <v>3376.7378618626371</v>
      </c>
    </row>
    <row r="10" spans="2:28" ht="17.399999999999999">
      <c r="B10" s="293">
        <v>8</v>
      </c>
      <c r="C10" s="293">
        <v>2029</v>
      </c>
      <c r="D10" s="410">
        <f ca="1">'17财政承受能力论证'!E39</f>
        <v>2205.0386169273233</v>
      </c>
      <c r="E10" s="410">
        <f t="shared" si="0"/>
        <v>3245.8127261772061</v>
      </c>
      <c r="F10" s="293">
        <f>'17财政承受能力论证'!K39</f>
        <v>7736.45</v>
      </c>
      <c r="G10" s="411">
        <f>'17财政承受能力论证'!L39</f>
        <v>179279.62425723296</v>
      </c>
      <c r="H10" s="412">
        <f t="shared" ca="1" si="1"/>
        <v>7.3557167456928627E-2</v>
      </c>
      <c r="L10">
        <v>3366.787794132068</v>
      </c>
    </row>
    <row r="11" spans="2:28" ht="17.399999999999999">
      <c r="B11" s="293">
        <v>9</v>
      </c>
      <c r="C11" s="293">
        <v>2030</v>
      </c>
      <c r="D11" s="410">
        <f ca="1">'17财政承受能力论证'!E40</f>
        <v>2207.1567413936814</v>
      </c>
      <c r="E11" s="410">
        <f t="shared" si="0"/>
        <v>3094.2662339313856</v>
      </c>
      <c r="F11" s="293"/>
      <c r="G11" s="411">
        <f>'17财政承受能力论证'!L40</f>
        <v>177056.55691644328</v>
      </c>
      <c r="H11" s="412">
        <f t="shared" ca="1" si="1"/>
        <v>2.9941974856242802E-2</v>
      </c>
      <c r="L11">
        <v>3265.2360300681644</v>
      </c>
    </row>
    <row r="12" spans="2:28" ht="17.399999999999999">
      <c r="B12" s="293">
        <v>10</v>
      </c>
      <c r="C12" s="293">
        <v>2031</v>
      </c>
      <c r="D12" s="410">
        <f ca="1">'17财政承受能力论证'!E41</f>
        <v>2148.471653524367</v>
      </c>
      <c r="E12" s="410">
        <f t="shared" si="0"/>
        <v>3066.8209561688982</v>
      </c>
      <c r="F12" s="293"/>
      <c r="G12" s="411">
        <f>'17财政承受能力论证'!L41</f>
        <v>174861.05561067938</v>
      </c>
      <c r="H12" s="412">
        <f t="shared" ca="1" si="1"/>
        <v>2.9825352428987331E-2</v>
      </c>
      <c r="L12">
        <v>3247.0973123375943</v>
      </c>
    </row>
    <row r="13" spans="2:28" ht="17.399999999999999">
      <c r="B13" s="293">
        <v>11</v>
      </c>
      <c r="C13" s="293">
        <v>2032</v>
      </c>
      <c r="D13" s="410">
        <f ca="1">'17财政承受能力论证'!E42</f>
        <v>2150.6753502191664</v>
      </c>
      <c r="E13" s="410">
        <f t="shared" si="0"/>
        <v>3039.3656784064106</v>
      </c>
      <c r="F13" s="293"/>
      <c r="G13" s="411">
        <f>'17财政承受能力论证'!L42</f>
        <v>172692.77852110696</v>
      </c>
      <c r="H13" s="412">
        <f t="shared" ca="1" si="1"/>
        <v>3.0053607759812823E-2</v>
      </c>
      <c r="L13">
        <v>3245.8127261772061</v>
      </c>
    </row>
    <row r="14" spans="2:28" ht="17.399999999999999">
      <c r="B14" s="293">
        <v>12</v>
      </c>
      <c r="C14" s="293">
        <v>2033</v>
      </c>
      <c r="D14" s="410">
        <f ca="1">'17财政承受能力论证'!E43</f>
        <v>2152.9231208478614</v>
      </c>
      <c r="E14" s="410">
        <f t="shared" si="0"/>
        <v>2847.5573021030909</v>
      </c>
      <c r="F14" s="293"/>
      <c r="G14" s="411">
        <f>'17财政承受能力论证'!L43</f>
        <v>170552</v>
      </c>
      <c r="H14" s="412">
        <f t="shared" ca="1" si="1"/>
        <v>2.9319388942674093E-2</v>
      </c>
      <c r="L14">
        <v>3094.2662339313856</v>
      </c>
    </row>
    <row r="15" spans="2:28" ht="17.399999999999999">
      <c r="B15" s="293">
        <v>13</v>
      </c>
      <c r="C15" s="293">
        <v>2034</v>
      </c>
      <c r="D15" s="410">
        <f ca="1">'17财政承受能力论证'!E44</f>
        <v>2091.3279933228805</v>
      </c>
      <c r="E15" s="410">
        <f t="shared" si="0"/>
        <v>2857.572981965604</v>
      </c>
      <c r="F15" s="293"/>
      <c r="G15" s="411">
        <f>'17财政承受能力论证'!L44</f>
        <v>168437.15520000001</v>
      </c>
      <c r="H15" s="412">
        <f t="shared" ca="1" si="1"/>
        <v>2.9381290424979136E-2</v>
      </c>
      <c r="L15">
        <v>3066.8209561688982</v>
      </c>
    </row>
    <row r="16" spans="2:28" ht="17.399999999999999">
      <c r="B16" s="293">
        <v>14</v>
      </c>
      <c r="C16" s="293">
        <v>2035</v>
      </c>
      <c r="D16" s="410">
        <f ca="1">'17财政承受能力论证'!E45</f>
        <v>2093.6665738849747</v>
      </c>
      <c r="E16" s="410">
        <f t="shared" si="0"/>
        <v>2852.7029618281167</v>
      </c>
      <c r="F16" s="293"/>
      <c r="G16" s="411">
        <f>'17财政承受能力论证'!L45</f>
        <v>166348</v>
      </c>
      <c r="H16" s="412">
        <f t="shared" ca="1" si="1"/>
        <v>2.9735070669398435E-2</v>
      </c>
      <c r="L16">
        <v>3039.3656784064106</v>
      </c>
    </row>
    <row r="17" spans="2:12" ht="17.399999999999999">
      <c r="B17" s="293">
        <v>15</v>
      </c>
      <c r="C17" s="293">
        <v>2036</v>
      </c>
      <c r="D17" s="410">
        <f ca="1">'17财政承受能力论证'!E46</f>
        <v>2096.0519260583119</v>
      </c>
      <c r="E17" s="410">
        <f t="shared" si="0"/>
        <v>2620.0834708572961</v>
      </c>
      <c r="F17" s="293"/>
      <c r="G17" s="411">
        <f>'17财政承受能力论证'!L46</f>
        <v>164285.28479999999</v>
      </c>
      <c r="H17" s="412">
        <f t="shared" ca="1" si="1"/>
        <v>2.8706986159210822E-2</v>
      </c>
      <c r="L17">
        <v>2847.5573021030909</v>
      </c>
    </row>
    <row r="18" spans="2:12" ht="17.399999999999999">
      <c r="B18" s="293">
        <v>16</v>
      </c>
      <c r="C18" s="293">
        <v>2037</v>
      </c>
      <c r="D18" s="410">
        <f ca="1">'17财政承受能力论证'!E47</f>
        <v>2031.4027390305519</v>
      </c>
      <c r="E18" s="410">
        <f t="shared" si="0"/>
        <v>2627.4966144698096</v>
      </c>
      <c r="F18" s="293"/>
      <c r="G18" s="411">
        <f>'17财政承受能力论证'!L47</f>
        <v>162248.14726848001</v>
      </c>
      <c r="H18" s="412">
        <f t="shared" ca="1" si="1"/>
        <v>2.8714653645881397E-2</v>
      </c>
      <c r="L18">
        <v>2857.572981965604</v>
      </c>
    </row>
    <row r="19" spans="2:12" ht="17.399999999999999">
      <c r="B19" s="293">
        <v>17</v>
      </c>
      <c r="C19" s="293">
        <v>2038</v>
      </c>
      <c r="D19" s="410">
        <f ca="1">'17财政承受能力论证'!E48</f>
        <v>2033.8844594316911</v>
      </c>
      <c r="E19" s="410">
        <f t="shared" si="0"/>
        <v>2638.2369271760717</v>
      </c>
      <c r="F19" s="293"/>
      <c r="G19" s="411">
        <f>'17财政承受能力论证'!L48</f>
        <v>160236.27024235087</v>
      </c>
      <c r="H19" s="412">
        <f t="shared" ca="1" si="1"/>
        <v>2.9157701808344445E-2</v>
      </c>
      <c r="L19">
        <v>2852.7029618281167</v>
      </c>
    </row>
    <row r="20" spans="2:12" ht="17.399999999999999">
      <c r="B20" s="293">
        <v>18</v>
      </c>
      <c r="C20" s="293">
        <v>2039</v>
      </c>
      <c r="D20" s="410">
        <f ca="1">'17财政承受能力论证'!E49</f>
        <v>2036.4158142408528</v>
      </c>
      <c r="E20" s="293"/>
      <c r="F20" s="293"/>
      <c r="G20" s="411">
        <f>'17财政承受能力论证'!L49</f>
        <v>158249.34049134573</v>
      </c>
      <c r="H20" s="412">
        <f t="shared" ca="1" si="1"/>
        <v>1.286840000671105E-2</v>
      </c>
      <c r="L20">
        <v>2620.0834708572961</v>
      </c>
    </row>
    <row r="21" spans="2:12" ht="17.399999999999999">
      <c r="B21" s="293">
        <v>19</v>
      </c>
      <c r="C21" s="293">
        <v>2040</v>
      </c>
      <c r="D21" s="410">
        <f ca="1">'17财政承受能力论证'!E50</f>
        <v>1968.5614375894077</v>
      </c>
      <c r="E21" s="293"/>
      <c r="F21" s="293"/>
      <c r="G21" s="411">
        <f>'17财政承受能力论证'!L50</f>
        <v>156287.04866925304</v>
      </c>
      <c r="H21" s="412">
        <f t="shared" ca="1" si="1"/>
        <v>1.2595806590189263E-2</v>
      </c>
      <c r="L21">
        <v>2627.4966144698096</v>
      </c>
    </row>
    <row r="22" spans="2:12" ht="17.399999999999999">
      <c r="B22" s="293">
        <v>20</v>
      </c>
      <c r="C22" s="293">
        <v>2041</v>
      </c>
      <c r="D22" s="410">
        <f ca="1">'17财政承受能力论证'!E51</f>
        <v>1971.1950591328593</v>
      </c>
      <c r="E22" s="293"/>
      <c r="F22" s="293"/>
      <c r="G22" s="411">
        <f>'17财政承受能力论证'!L51</f>
        <v>154349.0892657543</v>
      </c>
      <c r="H22" s="412">
        <f t="shared" ca="1" si="1"/>
        <v>1.27710184006263E-2</v>
      </c>
      <c r="L22">
        <v>2638.2369271760717</v>
      </c>
    </row>
    <row r="23" spans="2:12" ht="17.399999999999999">
      <c r="B23" s="293">
        <v>21</v>
      </c>
      <c r="C23" s="293">
        <v>2042</v>
      </c>
      <c r="D23" s="410">
        <f ca="1">'17财政承受能力论证'!E52</f>
        <v>1973.8813531071808</v>
      </c>
      <c r="E23" s="293"/>
      <c r="F23" s="293"/>
      <c r="G23" s="411">
        <f>'17财政承受能力论证'!L52</f>
        <v>152435.16055885894</v>
      </c>
      <c r="H23" s="412">
        <f t="shared" ca="1" si="1"/>
        <v>1.2948989890983956E-2</v>
      </c>
    </row>
    <row r="24" spans="2:12" ht="17.399999999999999">
      <c r="B24" s="293">
        <v>22</v>
      </c>
      <c r="C24" s="293">
        <v>2043</v>
      </c>
      <c r="D24" s="410">
        <f ca="1">'17财政承受能力论证'!E53</f>
        <v>1902.6631964763578</v>
      </c>
      <c r="E24" s="293"/>
      <c r="F24" s="293"/>
      <c r="G24" s="411">
        <f>'17财政承受能力论证'!L53</f>
        <v>150544.9645679291</v>
      </c>
      <c r="H24" s="412">
        <f t="shared" ca="1" si="1"/>
        <v>1.2638504395926412E-2</v>
      </c>
    </row>
    <row r="25" spans="2:12" ht="17.399999999999999">
      <c r="B25" s="293">
        <v>23</v>
      </c>
      <c r="C25" s="293">
        <v>2044</v>
      </c>
      <c r="D25" s="410">
        <f ca="1">'17财政承受能力论证'!E54</f>
        <v>1905.4580167272418</v>
      </c>
      <c r="E25" s="293"/>
      <c r="F25" s="293"/>
      <c r="G25" s="411">
        <f>'17财政承受能力论证'!L54</f>
        <v>148678.20700728678</v>
      </c>
      <c r="H25" s="412">
        <f t="shared" ca="1" si="1"/>
        <v>1.2815987326467116E-2</v>
      </c>
    </row>
  </sheetData>
  <phoneticPr fontId="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zoomScaleNormal="100" workbookViewId="0">
      <selection activeCell="B5" sqref="B5:N11"/>
    </sheetView>
  </sheetViews>
  <sheetFormatPr defaultColWidth="11" defaultRowHeight="15.6"/>
  <cols>
    <col min="2" max="2" width="11.08984375" customWidth="1"/>
    <col min="3" max="3" width="19.36328125" customWidth="1"/>
    <col min="4" max="4" width="11.36328125" bestFit="1" customWidth="1"/>
    <col min="6" max="6" width="11" bestFit="1" customWidth="1"/>
    <col min="7" max="7" width="11.453125" bestFit="1" customWidth="1"/>
    <col min="9" max="9" width="11" bestFit="1" customWidth="1"/>
    <col min="10" max="10" width="11.36328125" bestFit="1" customWidth="1"/>
    <col min="11" max="11" width="11.453125" bestFit="1" customWidth="1"/>
    <col min="12" max="13" width="11" bestFit="1" customWidth="1"/>
    <col min="14" max="14" width="14.90625" customWidth="1"/>
  </cols>
  <sheetData>
    <row r="1" spans="2:14" ht="24.9" customHeight="1"/>
    <row r="2" spans="2:14" ht="24.9" customHeight="1"/>
    <row r="3" spans="2:14" ht="24.9" customHeight="1"/>
    <row r="4" spans="2:14" s="21" customFormat="1" ht="24.9" customHeight="1">
      <c r="C4" s="369">
        <f>D4+F4-G4</f>
        <v>39458.110738330375</v>
      </c>
      <c r="D4" s="21">
        <f>'15PSC值估算'!D9</f>
        <v>63888.89</v>
      </c>
      <c r="E4" s="21">
        <f>'15PSC值估算'!D11</f>
        <v>0</v>
      </c>
      <c r="F4" s="368">
        <f>'15PSC值估算'!D10</f>
        <v>2324.9667213188382</v>
      </c>
      <c r="G4" s="368">
        <f>'15PSC值估算'!D12</f>
        <v>26755.745982988465</v>
      </c>
      <c r="H4" s="368"/>
      <c r="I4" s="368">
        <f ca="1">'15PSC值估算'!D14</f>
        <v>-4076.6057471890576</v>
      </c>
      <c r="J4" s="368">
        <f>'15PSC值估算'!D18</f>
        <v>9932.0785081978247</v>
      </c>
      <c r="K4" s="368">
        <f>'15PSC值估算'!D19</f>
        <v>8442.2667319681495</v>
      </c>
      <c r="L4" s="368">
        <f>'15PSC值估算'!D20</f>
        <v>1489.811776229674</v>
      </c>
      <c r="N4" s="369">
        <f ca="1">C4+I4+J4</f>
        <v>45313.58349933914</v>
      </c>
    </row>
    <row r="5" spans="2:14" ht="52.2">
      <c r="B5" s="639" t="s">
        <v>270</v>
      </c>
      <c r="C5" s="71" t="s">
        <v>271</v>
      </c>
      <c r="D5" s="71" t="s">
        <v>272</v>
      </c>
      <c r="E5" s="71" t="s">
        <v>273</v>
      </c>
      <c r="F5" s="71" t="s">
        <v>274</v>
      </c>
      <c r="G5" s="71" t="s">
        <v>275</v>
      </c>
      <c r="H5" s="71" t="s">
        <v>276</v>
      </c>
      <c r="I5" s="71" t="s">
        <v>277</v>
      </c>
      <c r="J5" s="71" t="s">
        <v>278</v>
      </c>
      <c r="K5" s="71" t="s">
        <v>279</v>
      </c>
      <c r="L5" s="71" t="s">
        <v>280</v>
      </c>
      <c r="M5" s="71" t="s">
        <v>281</v>
      </c>
      <c r="N5" s="71" t="s">
        <v>282</v>
      </c>
    </row>
    <row r="6" spans="2:14" ht="48" customHeight="1">
      <c r="B6" s="640"/>
      <c r="C6" s="59">
        <f>D6+F6-G6</f>
        <v>45411.038982402446</v>
      </c>
      <c r="D6" s="296">
        <f>NPV(H6,'15PSC值估算'!E9:AA9)</f>
        <v>58384.00284993602</v>
      </c>
      <c r="E6" s="152">
        <v>0</v>
      </c>
      <c r="F6" s="296">
        <f>NPV(H6,'15PSC值估算'!E10:AA10)</f>
        <v>1226.8170934657551</v>
      </c>
      <c r="G6" s="296">
        <f>NPV(H6,'15PSC值估算'!E12:AA12)</f>
        <v>14199.780960999327</v>
      </c>
      <c r="H6" s="151">
        <v>4.9000000000000002E-2</v>
      </c>
      <c r="I6" s="296">
        <f ca="1">NPV(H6,'15PSC值估算'!E14:AA14)</f>
        <v>-2186.7121201381055</v>
      </c>
      <c r="J6" s="296">
        <f>NPV(H6,'15PSC值估算'!E18:AA18)</f>
        <v>8941.6229915102685</v>
      </c>
      <c r="K6" s="296">
        <f>NPV(H6,'15PSC值估算'!E19:AA19)</f>
        <v>7600.3795427837276</v>
      </c>
      <c r="L6" s="296">
        <f>NPV(H6,'15PSC值估算'!E20:AA20)</f>
        <v>1341.24344872654</v>
      </c>
      <c r="M6" s="296"/>
      <c r="N6" s="363">
        <f ca="1">C6+I6+J6</f>
        <v>52165.949853774604</v>
      </c>
    </row>
    <row r="7" spans="2:14" ht="47.1" customHeight="1">
      <c r="B7" s="639" t="s">
        <v>283</v>
      </c>
      <c r="C7" s="150"/>
      <c r="D7" s="642" t="s">
        <v>284</v>
      </c>
      <c r="E7" s="643"/>
      <c r="F7" s="644"/>
      <c r="G7" s="642" t="s">
        <v>285</v>
      </c>
      <c r="H7" s="644"/>
      <c r="I7" s="642" t="s">
        <v>286</v>
      </c>
      <c r="J7" s="643"/>
      <c r="K7" s="644"/>
      <c r="L7" s="642" t="s">
        <v>287</v>
      </c>
      <c r="M7" s="644"/>
      <c r="N7" s="150" t="s">
        <v>282</v>
      </c>
    </row>
    <row r="8" spans="2:14" ht="36.9" customHeight="1">
      <c r="B8" s="641"/>
      <c r="C8" s="150" t="s">
        <v>288</v>
      </c>
      <c r="D8" s="642">
        <f ca="1">'16PPP值估算'!D4</f>
        <v>2051.1611691398393</v>
      </c>
      <c r="E8" s="643"/>
      <c r="F8" s="644"/>
      <c r="G8" s="642">
        <f ca="1">'16PPP值估算'!D5</f>
        <v>41890.098540518513</v>
      </c>
      <c r="H8" s="644"/>
      <c r="I8" s="642">
        <f>'16PPP值估算'!D6</f>
        <v>1489.811776229674</v>
      </c>
      <c r="J8" s="643"/>
      <c r="K8" s="644"/>
      <c r="L8" s="645">
        <f>'16PPP值估算'!D7</f>
        <v>0</v>
      </c>
      <c r="M8" s="645"/>
      <c r="N8" s="296">
        <f ca="1">D8+G8+I8+L8</f>
        <v>45431.071485888024</v>
      </c>
    </row>
    <row r="9" spans="2:14" ht="36.9" customHeight="1">
      <c r="B9" s="640"/>
      <c r="C9" s="150" t="s">
        <v>289</v>
      </c>
      <c r="D9" s="642">
        <f ca="1">NPV(H6,'16PPP值估算'!E4:AA4)</f>
        <v>1874.4260472319754</v>
      </c>
      <c r="E9" s="643"/>
      <c r="F9" s="644"/>
      <c r="G9" s="642">
        <f ca="1">NPV(H6,'16PPP值估算'!E5:AA5)</f>
        <v>23133.028330733534</v>
      </c>
      <c r="H9" s="644"/>
      <c r="I9" s="642">
        <f>NPV(H6,'16PPP值估算'!E6:AA6)</f>
        <v>1341.24344872654</v>
      </c>
      <c r="J9" s="643"/>
      <c r="K9" s="644"/>
      <c r="L9" s="645"/>
      <c r="M9" s="645"/>
      <c r="N9" s="296">
        <f ca="1">D9+G9+I9</f>
        <v>26348.697826692049</v>
      </c>
    </row>
    <row r="10" spans="2:14" ht="34.799999999999997">
      <c r="B10" s="71" t="s">
        <v>290</v>
      </c>
      <c r="C10" s="642">
        <f ca="1">N6-N9</f>
        <v>25817.252027082555</v>
      </c>
      <c r="D10" s="643"/>
      <c r="E10" s="643"/>
      <c r="F10" s="643"/>
      <c r="G10" s="643"/>
      <c r="H10" s="643"/>
      <c r="I10" s="643"/>
      <c r="J10" s="643"/>
      <c r="K10" s="643"/>
      <c r="L10" s="643"/>
      <c r="M10" s="643"/>
      <c r="N10" s="644"/>
    </row>
    <row r="11" spans="2:14" ht="69" customHeight="1">
      <c r="B11" s="71" t="s">
        <v>291</v>
      </c>
      <c r="C11" s="636">
        <f ca="1">C10/N6</f>
        <v>0.49490620029828675</v>
      </c>
      <c r="D11" s="637"/>
      <c r="E11" s="637"/>
      <c r="F11" s="637"/>
      <c r="G11" s="637"/>
      <c r="H11" s="637"/>
      <c r="I11" s="637"/>
      <c r="J11" s="637"/>
      <c r="K11" s="637"/>
      <c r="L11" s="637"/>
      <c r="M11" s="637"/>
      <c r="N11" s="638"/>
    </row>
    <row r="20" spans="3:3" ht="153" customHeight="1">
      <c r="C20" s="326">
        <f ca="1">41162.54+J6+I6</f>
        <v>47917.450871372159</v>
      </c>
    </row>
  </sheetData>
  <mergeCells count="16">
    <mergeCell ref="C11:N11"/>
    <mergeCell ref="B5:B6"/>
    <mergeCell ref="B7:B9"/>
    <mergeCell ref="D7:F7"/>
    <mergeCell ref="G7:H7"/>
    <mergeCell ref="I7:K7"/>
    <mergeCell ref="L7:M7"/>
    <mergeCell ref="D8:F8"/>
    <mergeCell ref="G8:H8"/>
    <mergeCell ref="I8:K8"/>
    <mergeCell ref="L8:M8"/>
    <mergeCell ref="D9:F9"/>
    <mergeCell ref="G9:H9"/>
    <mergeCell ref="I9:K9"/>
    <mergeCell ref="L9:M9"/>
    <mergeCell ref="C10:N10"/>
  </mergeCells>
  <phoneticPr fontId="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7"/>
  <sheetViews>
    <sheetView showGridLines="0" topLeftCell="A8" workbookViewId="0">
      <selection activeCell="D12" sqref="D12"/>
    </sheetView>
  </sheetViews>
  <sheetFormatPr defaultColWidth="11" defaultRowHeight="15.6"/>
  <cols>
    <col min="2" max="2" width="11.08984375" bestFit="1" customWidth="1"/>
    <col min="3" max="3" width="24.90625" customWidth="1"/>
    <col min="4" max="17" width="14" bestFit="1" customWidth="1"/>
    <col min="18" max="26" width="12.453125" bestFit="1" customWidth="1"/>
  </cols>
  <sheetData>
    <row r="2" spans="2:29" ht="24.9" customHeight="1">
      <c r="B2" s="646" t="s">
        <v>112</v>
      </c>
      <c r="C2" s="646" t="s">
        <v>348</v>
      </c>
      <c r="D2" s="647" t="s">
        <v>498</v>
      </c>
      <c r="E2" s="647"/>
      <c r="F2" s="647"/>
      <c r="G2" s="647" t="s">
        <v>497</v>
      </c>
      <c r="H2" s="647"/>
      <c r="I2" s="647"/>
      <c r="J2" s="647"/>
      <c r="K2" s="647"/>
      <c r="L2" s="647"/>
      <c r="M2" s="647"/>
      <c r="N2" s="647"/>
      <c r="O2" s="647"/>
      <c r="P2" s="647"/>
      <c r="Q2" s="647"/>
      <c r="R2" s="647"/>
      <c r="S2" s="647"/>
      <c r="T2" s="647"/>
      <c r="U2" s="647"/>
      <c r="V2" s="647"/>
      <c r="W2" s="647"/>
      <c r="X2" s="647"/>
      <c r="Y2" s="647"/>
      <c r="Z2" s="647"/>
    </row>
    <row r="3" spans="2:29" ht="24.9" customHeight="1">
      <c r="B3" s="646"/>
      <c r="C3" s="646"/>
      <c r="D3" s="155">
        <v>2022</v>
      </c>
      <c r="E3" s="155">
        <v>2023</v>
      </c>
      <c r="F3" s="155">
        <v>2024</v>
      </c>
      <c r="G3" s="155">
        <v>2025</v>
      </c>
      <c r="H3" s="155">
        <v>2026</v>
      </c>
      <c r="I3" s="155">
        <v>2027</v>
      </c>
      <c r="J3" s="155">
        <v>2028</v>
      </c>
      <c r="K3" s="155">
        <v>2029</v>
      </c>
      <c r="L3" s="155">
        <v>2030</v>
      </c>
      <c r="M3" s="155">
        <v>2031</v>
      </c>
      <c r="N3" s="155">
        <v>2032</v>
      </c>
      <c r="O3" s="155">
        <v>2033</v>
      </c>
      <c r="P3" s="155">
        <v>2034</v>
      </c>
      <c r="Q3" s="155">
        <v>2035</v>
      </c>
      <c r="R3" s="155">
        <v>2036</v>
      </c>
      <c r="S3" s="155">
        <v>2037</v>
      </c>
      <c r="T3" s="155">
        <v>2038</v>
      </c>
      <c r="U3" s="155">
        <v>2039</v>
      </c>
      <c r="V3" s="155">
        <v>2040</v>
      </c>
      <c r="W3" s="155">
        <v>2041</v>
      </c>
      <c r="X3" s="155">
        <v>2042</v>
      </c>
      <c r="Y3" s="155">
        <v>2043</v>
      </c>
      <c r="Z3" s="155">
        <v>2044</v>
      </c>
    </row>
    <row r="4" spans="2:29" ht="24.9" customHeight="1">
      <c r="B4" s="156">
        <v>1</v>
      </c>
      <c r="C4" s="156" t="s">
        <v>349</v>
      </c>
      <c r="D4" s="157">
        <f ca="1">D5+D6+D7+D8</f>
        <v>1395.4644776559358</v>
      </c>
      <c r="E4" s="157">
        <f t="shared" ref="E4:U4" ca="1" si="0">E5+E6+E7+E8</f>
        <v>1046.5983582419517</v>
      </c>
      <c r="F4" s="157">
        <f ca="1">F5+F6+F7+F8</f>
        <v>1046.5983582419517</v>
      </c>
      <c r="G4" s="157">
        <f t="shared" ca="1" si="0"/>
        <v>2254.9215401094066</v>
      </c>
      <c r="H4" s="157">
        <f t="shared" ca="1" si="0"/>
        <v>2256.8783597094066</v>
      </c>
      <c r="I4" s="157">
        <f t="shared" ca="1" si="0"/>
        <v>2258.8743157014064</v>
      </c>
      <c r="J4" s="157">
        <f t="shared" ca="1" si="0"/>
        <v>2202.9620243132467</v>
      </c>
      <c r="K4" s="157">
        <f t="shared" ca="1" si="0"/>
        <v>2205.0386169273233</v>
      </c>
      <c r="L4" s="157">
        <f t="shared" ca="1" si="0"/>
        <v>2207.1567413936814</v>
      </c>
      <c r="M4" s="157">
        <f t="shared" ca="1" si="0"/>
        <v>2148.471653524367</v>
      </c>
      <c r="N4" s="157">
        <f t="shared" ca="1" si="0"/>
        <v>2150.6753502191664</v>
      </c>
      <c r="O4" s="157">
        <f t="shared" ca="1" si="0"/>
        <v>2152.9231208478614</v>
      </c>
      <c r="P4" s="157">
        <f t="shared" ca="1" si="0"/>
        <v>2091.3279933228805</v>
      </c>
      <c r="Q4" s="157">
        <f t="shared" ca="1" si="0"/>
        <v>2093.6665738849747</v>
      </c>
      <c r="R4" s="158">
        <f t="shared" ca="1" si="0"/>
        <v>2096.0519260583119</v>
      </c>
      <c r="S4" s="158">
        <f t="shared" ca="1" si="0"/>
        <v>2031.4027390305519</v>
      </c>
      <c r="T4" s="158">
        <f t="shared" ca="1" si="0"/>
        <v>2033.8844594316911</v>
      </c>
      <c r="U4" s="158">
        <f t="shared" ca="1" si="0"/>
        <v>2036.4158142408528</v>
      </c>
      <c r="V4" s="158">
        <f t="shared" ref="V4:Z4" ca="1" si="1">V5+V6+V7+V8</f>
        <v>1968.5614375894077</v>
      </c>
      <c r="W4" s="158">
        <f t="shared" ca="1" si="1"/>
        <v>1971.1950591328593</v>
      </c>
      <c r="X4" s="158">
        <f t="shared" ca="1" si="1"/>
        <v>1973.8813531071808</v>
      </c>
      <c r="Y4" s="158">
        <f t="shared" ca="1" si="1"/>
        <v>1902.6631964763578</v>
      </c>
      <c r="Z4" s="158">
        <f t="shared" ca="1" si="1"/>
        <v>1905.4580167272418</v>
      </c>
    </row>
    <row r="5" spans="2:29" ht="24.9" customHeight="1">
      <c r="B5" s="156">
        <v>1.1000000000000001</v>
      </c>
      <c r="C5" s="156" t="s">
        <v>350</v>
      </c>
      <c r="D5" s="157">
        <f ca="1">'16PPP值估算'!E4</f>
        <v>820.46446765593578</v>
      </c>
      <c r="E5" s="157">
        <f ca="1">'16PPP值估算'!F4</f>
        <v>615.34835074195178</v>
      </c>
      <c r="F5" s="157">
        <f ca="1">'16PPP值估算'!G4</f>
        <v>615.34835074195178</v>
      </c>
      <c r="G5" s="157"/>
      <c r="H5" s="157"/>
      <c r="I5" s="157"/>
      <c r="J5" s="157"/>
      <c r="K5" s="157"/>
      <c r="L5" s="157"/>
      <c r="M5" s="157"/>
      <c r="N5" s="157"/>
      <c r="O5" s="157"/>
      <c r="P5" s="157"/>
      <c r="Q5" s="157"/>
      <c r="R5" s="156"/>
      <c r="S5" s="239"/>
      <c r="T5" s="239"/>
      <c r="U5" s="252"/>
      <c r="V5" s="252"/>
      <c r="W5" s="252"/>
      <c r="X5" s="252"/>
      <c r="Y5" s="252"/>
      <c r="Z5" s="252"/>
    </row>
    <row r="6" spans="2:29" ht="24.9" customHeight="1">
      <c r="B6" s="156">
        <v>1.2</v>
      </c>
      <c r="C6" s="156" t="s">
        <v>292</v>
      </c>
      <c r="D6" s="157">
        <f>'16PPP值估算'!E5</f>
        <v>0</v>
      </c>
      <c r="E6" s="157">
        <f>'16PPP值估算'!F5</f>
        <v>0</v>
      </c>
      <c r="F6" s="157">
        <f>'16PPP值估算'!G5</f>
        <v>0</v>
      </c>
      <c r="G6" s="157">
        <f ca="1">'16PPP值估算'!H5</f>
        <v>2252.7685601094067</v>
      </c>
      <c r="H6" s="157">
        <f ca="1">'16PPP值估算'!I5</f>
        <v>2254.6823201094066</v>
      </c>
      <c r="I6" s="157">
        <f ca="1">'16PPP值估算'!J5</f>
        <v>2256.6343553094066</v>
      </c>
      <c r="J6" s="157">
        <f ca="1">'16PPP值估算'!K5</f>
        <v>2200.6772647134067</v>
      </c>
      <c r="K6" s="157">
        <f ca="1">'16PPP值估算'!L5</f>
        <v>2202.7081621354864</v>
      </c>
      <c r="L6" s="157">
        <f ca="1">'16PPP值估算'!M5</f>
        <v>2204.7796775060078</v>
      </c>
      <c r="M6" s="157">
        <f ca="1">'16PPP值估算'!N5</f>
        <v>2146.0470483589402</v>
      </c>
      <c r="N6" s="157">
        <f ca="1">'16PPP值估算'!O5</f>
        <v>2148.2022529504306</v>
      </c>
      <c r="O6" s="157">
        <f ca="1">'16PPP值估算'!P5</f>
        <v>2150.4005616337513</v>
      </c>
      <c r="P6" s="157">
        <f ca="1">'16PPP值估算'!Q5</f>
        <v>2088.7549829244881</v>
      </c>
      <c r="Q6" s="157">
        <f ca="1">'16PPP值估算'!R5</f>
        <v>2091.0421032786144</v>
      </c>
      <c r="R6" s="171">
        <f ca="1">'16PPP值估算'!S5</f>
        <v>2093.3749660398244</v>
      </c>
      <c r="S6" s="171">
        <f ca="1">'16PPP值估算'!T5</f>
        <v>2028.6722398116947</v>
      </c>
      <c r="T6" s="171">
        <f ca="1">'16PPP值估算'!U5</f>
        <v>2031.0993502284566</v>
      </c>
      <c r="U6" s="171">
        <f ca="1">'16PPP值估算'!V5</f>
        <v>2033.5750028535538</v>
      </c>
      <c r="V6" s="171">
        <f ca="1">'16PPP值估算'!W5</f>
        <v>1965.6638099743625</v>
      </c>
      <c r="W6" s="171">
        <f ca="1">'16PPP值估算'!X5</f>
        <v>1968.2394789655134</v>
      </c>
      <c r="X6" s="171">
        <f ca="1">'16PPP值估算'!Y5</f>
        <v>1970.8666613364878</v>
      </c>
      <c r="Y6" s="171">
        <f ca="1">'16PPP值估算'!Z5</f>
        <v>1899.588210870251</v>
      </c>
      <c r="Z6" s="171">
        <f ca="1">'16PPP值估算'!AA5</f>
        <v>1902.3215314090128</v>
      </c>
    </row>
    <row r="7" spans="2:29" ht="24.9" customHeight="1">
      <c r="B7" s="156">
        <v>1.3</v>
      </c>
      <c r="C7" s="156" t="s">
        <v>358</v>
      </c>
      <c r="D7" s="157">
        <f>'16PPP值估算'!E6</f>
        <v>575.00000999999997</v>
      </c>
      <c r="E7" s="157">
        <f>'16PPP值估算'!F6</f>
        <v>431.25000749999998</v>
      </c>
      <c r="F7" s="157">
        <f>'16PPP值估算'!G6</f>
        <v>431.25000749999998</v>
      </c>
      <c r="G7" s="157">
        <f>'16PPP值估算'!H6</f>
        <v>2.1529799999999994</v>
      </c>
      <c r="H7" s="157">
        <f>'16PPP值估算'!I6</f>
        <v>2.1960395999999993</v>
      </c>
      <c r="I7" s="157">
        <f>'16PPP值估算'!J6</f>
        <v>2.2399603919999995</v>
      </c>
      <c r="J7" s="157">
        <f>'16PPP值估算'!K6</f>
        <v>2.2847595998399997</v>
      </c>
      <c r="K7" s="157">
        <f>'16PPP值估算'!L6</f>
        <v>2.3304547918367997</v>
      </c>
      <c r="L7" s="157">
        <f>'16PPP值估算'!M6</f>
        <v>2.3770638876735353</v>
      </c>
      <c r="M7" s="157">
        <f>'16PPP值估算'!N6</f>
        <v>2.4246051654270064</v>
      </c>
      <c r="N7" s="157">
        <f>'16PPP值估算'!O6</f>
        <v>2.4730972687355464</v>
      </c>
      <c r="O7" s="157">
        <f>'16PPP值估算'!P6</f>
        <v>2.5225592141102573</v>
      </c>
      <c r="P7" s="157">
        <f>'16PPP值估算'!Q6</f>
        <v>2.5730103983924626</v>
      </c>
      <c r="Q7" s="157">
        <f>'16PPP值估算'!R6</f>
        <v>2.6244706063603118</v>
      </c>
      <c r="R7" s="157">
        <f>'16PPP值估算'!S6</f>
        <v>2.676960018487518</v>
      </c>
      <c r="S7" s="157">
        <f>'16PPP值估算'!T6</f>
        <v>2.7304992188572688</v>
      </c>
      <c r="T7" s="157">
        <f>'16PPP值估算'!U6</f>
        <v>2.785109203234414</v>
      </c>
      <c r="U7" s="157">
        <f>'16PPP值估算'!V6</f>
        <v>2.8408113872991021</v>
      </c>
      <c r="V7" s="157">
        <f>'16PPP值估算'!W6</f>
        <v>2.8976276150450837</v>
      </c>
      <c r="W7" s="157">
        <f>'16PPP值估算'!X6</f>
        <v>2.9555801673459854</v>
      </c>
      <c r="X7" s="157">
        <f>'16PPP值估算'!Y6</f>
        <v>3.0146917706929059</v>
      </c>
      <c r="Y7" s="157">
        <f>'16PPP值估算'!Z6</f>
        <v>3.0749856061067637</v>
      </c>
      <c r="Z7" s="157">
        <f>'16PPP值估算'!AA6</f>
        <v>3.1364853182288992</v>
      </c>
    </row>
    <row r="8" spans="2:29" ht="24.9" customHeight="1">
      <c r="B8" s="156">
        <v>1.4</v>
      </c>
      <c r="C8" s="156" t="s">
        <v>352</v>
      </c>
      <c r="D8" s="157"/>
      <c r="E8" s="157"/>
      <c r="F8" s="157"/>
      <c r="G8" s="157"/>
      <c r="H8" s="157"/>
      <c r="I8" s="157"/>
      <c r="J8" s="157"/>
      <c r="K8" s="157"/>
      <c r="L8" s="157"/>
      <c r="M8" s="157"/>
      <c r="N8" s="157"/>
      <c r="O8" s="157"/>
      <c r="P8" s="157"/>
      <c r="Q8" s="157"/>
      <c r="R8" s="156"/>
      <c r="S8" s="239"/>
      <c r="T8" s="239"/>
      <c r="U8" s="252"/>
      <c r="V8" s="252"/>
      <c r="W8" s="252"/>
      <c r="X8" s="252"/>
      <c r="Y8" s="252"/>
      <c r="Z8" s="252"/>
    </row>
    <row r="9" spans="2:29" ht="24.9" customHeight="1">
      <c r="B9" s="156">
        <v>2</v>
      </c>
      <c r="C9" s="156" t="s">
        <v>353</v>
      </c>
      <c r="D9" s="158">
        <f>198099*(1-1.24%)</f>
        <v>195642.5724</v>
      </c>
      <c r="E9" s="158">
        <f>D9*(1-1.24%)</f>
        <v>193216.60450224002</v>
      </c>
      <c r="F9" s="158">
        <f t="shared" ref="F9:Z9" si="2">E9*(1-1.24%)</f>
        <v>190820.71860641227</v>
      </c>
      <c r="G9" s="158">
        <f t="shared" si="2"/>
        <v>188454.54169569275</v>
      </c>
      <c r="H9" s="158">
        <f t="shared" si="2"/>
        <v>186117.70537866617</v>
      </c>
      <c r="I9" s="158">
        <f t="shared" si="2"/>
        <v>183809.84583197071</v>
      </c>
      <c r="J9" s="158">
        <f t="shared" si="2"/>
        <v>181530.60374365427</v>
      </c>
      <c r="K9" s="158">
        <f t="shared" si="2"/>
        <v>179279.62425723296</v>
      </c>
      <c r="L9" s="158">
        <f t="shared" si="2"/>
        <v>177056.55691644328</v>
      </c>
      <c r="M9" s="158">
        <f t="shared" si="2"/>
        <v>174861.05561067938</v>
      </c>
      <c r="N9" s="158">
        <f t="shared" si="2"/>
        <v>172692.77852110696</v>
      </c>
      <c r="O9" s="158">
        <v>170552</v>
      </c>
      <c r="P9" s="158">
        <f t="shared" si="2"/>
        <v>168437.15520000001</v>
      </c>
      <c r="Q9" s="158">
        <v>166348</v>
      </c>
      <c r="R9" s="158">
        <f t="shared" si="2"/>
        <v>164285.28479999999</v>
      </c>
      <c r="S9" s="158">
        <f t="shared" si="2"/>
        <v>162248.14726848001</v>
      </c>
      <c r="T9" s="158">
        <f t="shared" si="2"/>
        <v>160236.27024235087</v>
      </c>
      <c r="U9" s="158">
        <f t="shared" si="2"/>
        <v>158249.34049134573</v>
      </c>
      <c r="V9" s="158">
        <f t="shared" si="2"/>
        <v>156287.04866925304</v>
      </c>
      <c r="W9" s="158">
        <f t="shared" si="2"/>
        <v>154349.0892657543</v>
      </c>
      <c r="X9" s="158">
        <f t="shared" si="2"/>
        <v>152435.16055885894</v>
      </c>
      <c r="Y9" s="158">
        <f t="shared" si="2"/>
        <v>150544.9645679291</v>
      </c>
      <c r="Z9" s="158">
        <f t="shared" si="2"/>
        <v>148678.20700728678</v>
      </c>
    </row>
    <row r="10" spans="2:29" ht="24.9" customHeight="1">
      <c r="B10" s="156">
        <v>3</v>
      </c>
      <c r="C10" s="156" t="s">
        <v>293</v>
      </c>
      <c r="D10" s="159">
        <f ca="1">D4/D9</f>
        <v>7.1327240310603054E-3</v>
      </c>
      <c r="E10" s="159">
        <f ca="1">E4/E9</f>
        <v>5.4167102301490768E-3</v>
      </c>
      <c r="F10" s="159">
        <f ca="1">F4/F9</f>
        <v>5.484720767668161E-3</v>
      </c>
      <c r="G10" s="159">
        <f t="shared" ref="G10:U10" ca="1" si="3">G4/G9</f>
        <v>1.1965334026019625E-2</v>
      </c>
      <c r="H10" s="159">
        <f t="shared" ca="1" si="3"/>
        <v>1.2126080939573534E-2</v>
      </c>
      <c r="I10" s="159">
        <f t="shared" ca="1" si="3"/>
        <v>1.2289191068504297E-2</v>
      </c>
      <c r="J10" s="159">
        <f t="shared" ca="1" si="3"/>
        <v>1.2135485581396108E-2</v>
      </c>
      <c r="K10" s="159">
        <f t="shared" ca="1" si="3"/>
        <v>1.229943796492736E-2</v>
      </c>
      <c r="L10" s="159">
        <f t="shared" ca="1" si="3"/>
        <v>1.24658288844693E-2</v>
      </c>
      <c r="M10" s="159">
        <f t="shared" ca="1" si="3"/>
        <v>1.228673615186132E-2</v>
      </c>
      <c r="N10" s="159">
        <f t="shared" ca="1" si="3"/>
        <v>1.2453765401407942E-2</v>
      </c>
      <c r="O10" s="159">
        <f t="shared" ca="1" si="3"/>
        <v>1.2623265167502354E-2</v>
      </c>
      <c r="P10" s="159">
        <f t="shared" ca="1" si="3"/>
        <v>1.2416072872043379E-2</v>
      </c>
      <c r="Q10" s="159">
        <f t="shared" ca="1" si="3"/>
        <v>1.25860639976734E-2</v>
      </c>
      <c r="R10" s="159">
        <f t="shared" ca="1" si="3"/>
        <v>1.2758610295560153E-2</v>
      </c>
      <c r="S10" s="159">
        <f t="shared" ca="1" si="3"/>
        <v>1.2520344751111946E-2</v>
      </c>
      <c r="T10" s="159">
        <f t="shared" ca="1" si="3"/>
        <v>1.2693034207271071E-2</v>
      </c>
      <c r="U10" s="159">
        <f t="shared" ca="1" si="3"/>
        <v>1.286840000671105E-2</v>
      </c>
      <c r="V10" s="159">
        <f t="shared" ref="V10:Z10" ca="1" si="4">V4/V9</f>
        <v>1.2595806590189263E-2</v>
      </c>
      <c r="W10" s="159">
        <f t="shared" ca="1" si="4"/>
        <v>1.27710184006263E-2</v>
      </c>
      <c r="X10" s="159">
        <f t="shared" ca="1" si="4"/>
        <v>1.2948989890983956E-2</v>
      </c>
      <c r="Y10" s="159">
        <f t="shared" ca="1" si="4"/>
        <v>1.2638504395926412E-2</v>
      </c>
      <c r="Z10" s="159">
        <f t="shared" ca="1" si="4"/>
        <v>1.2815987326467116E-2</v>
      </c>
    </row>
    <row r="11" spans="2:29" ht="34.799999999999997">
      <c r="B11" s="156">
        <v>4</v>
      </c>
      <c r="C11" s="156" t="s">
        <v>355</v>
      </c>
      <c r="D11" s="157">
        <v>7736.45</v>
      </c>
      <c r="E11" s="157">
        <v>7736.45</v>
      </c>
      <c r="F11" s="157">
        <v>7736.45</v>
      </c>
      <c r="G11" s="157">
        <v>7736.45</v>
      </c>
      <c r="H11" s="157">
        <v>7736.45</v>
      </c>
      <c r="I11" s="157">
        <v>7736.45</v>
      </c>
      <c r="J11" s="157">
        <v>7736.45</v>
      </c>
      <c r="K11" s="157">
        <v>7736.45</v>
      </c>
      <c r="L11" s="157"/>
      <c r="M11" s="157"/>
      <c r="N11" s="157"/>
      <c r="O11" s="157"/>
      <c r="P11" s="157"/>
      <c r="Q11" s="157"/>
      <c r="R11" s="157"/>
      <c r="S11" s="157"/>
      <c r="T11" s="157"/>
      <c r="U11" s="287"/>
      <c r="V11" s="287"/>
      <c r="W11" s="287"/>
      <c r="X11" s="287"/>
      <c r="Y11" s="287"/>
      <c r="Z11" s="287"/>
    </row>
    <row r="12" spans="2:29" ht="17.399999999999999">
      <c r="B12" s="170">
        <v>5</v>
      </c>
      <c r="C12" s="170" t="s">
        <v>354</v>
      </c>
      <c r="D12" s="224">
        <f ca="1">(D4+D11)/D9</f>
        <v>4.6676520174685328E-2</v>
      </c>
      <c r="E12" s="224">
        <f t="shared" ref="E12:U12" ca="1" si="5">(E4+E11)/E9</f>
        <v>4.5457006041839054E-2</v>
      </c>
      <c r="F12" s="224">
        <f t="shared" ca="1" si="5"/>
        <v>4.6027750143619935E-2</v>
      </c>
      <c r="G12" s="224">
        <f t="shared" ca="1" si="5"/>
        <v>5.3017409133301698E-2</v>
      </c>
      <c r="H12" s="224">
        <f t="shared" ca="1" si="5"/>
        <v>5.3693593198870897E-2</v>
      </c>
      <c r="I12" s="224">
        <f t="shared" ca="1" si="5"/>
        <v>5.437861214920231E-2</v>
      </c>
      <c r="J12" s="224">
        <f t="shared" ca="1" si="5"/>
        <v>5.4753368409158371E-2</v>
      </c>
      <c r="K12" s="224">
        <f t="shared" ca="1" si="5"/>
        <v>5.5452417741924387E-2</v>
      </c>
      <c r="L12" s="224">
        <f t="shared" ca="1" si="5"/>
        <v>1.24658288844693E-2</v>
      </c>
      <c r="M12" s="224">
        <f t="shared" ca="1" si="5"/>
        <v>1.228673615186132E-2</v>
      </c>
      <c r="N12" s="224">
        <f t="shared" ca="1" si="5"/>
        <v>1.2453765401407942E-2</v>
      </c>
      <c r="O12" s="224">
        <f t="shared" ca="1" si="5"/>
        <v>1.2623265167502354E-2</v>
      </c>
      <c r="P12" s="224">
        <f t="shared" ca="1" si="5"/>
        <v>1.2416072872043379E-2</v>
      </c>
      <c r="Q12" s="224">
        <f t="shared" ca="1" si="5"/>
        <v>1.25860639976734E-2</v>
      </c>
      <c r="R12" s="224">
        <f t="shared" ca="1" si="5"/>
        <v>1.2758610295560153E-2</v>
      </c>
      <c r="S12" s="224">
        <f t="shared" ca="1" si="5"/>
        <v>1.2520344751111946E-2</v>
      </c>
      <c r="T12" s="224">
        <f t="shared" ca="1" si="5"/>
        <v>1.2693034207271071E-2</v>
      </c>
      <c r="U12" s="224">
        <f t="shared" ca="1" si="5"/>
        <v>1.286840000671105E-2</v>
      </c>
      <c r="V12" s="224">
        <f t="shared" ref="V12:Z12" ca="1" si="6">(V4+V11)/V9</f>
        <v>1.2595806590189263E-2</v>
      </c>
      <c r="W12" s="224">
        <f t="shared" ca="1" si="6"/>
        <v>1.27710184006263E-2</v>
      </c>
      <c r="X12" s="224">
        <f t="shared" ca="1" si="6"/>
        <v>1.2948989890983956E-2</v>
      </c>
      <c r="Y12" s="224">
        <f t="shared" ca="1" si="6"/>
        <v>1.2638504395926412E-2</v>
      </c>
      <c r="Z12" s="224">
        <f t="shared" ca="1" si="6"/>
        <v>1.2815987326467116E-2</v>
      </c>
      <c r="AB12" s="5">
        <f ca="1">MIN(D12:Z12)</f>
        <v>1.228673615186132E-2</v>
      </c>
      <c r="AC12" s="5">
        <f ca="1">MAX(D12:Z12)</f>
        <v>5.5452417741924387E-2</v>
      </c>
    </row>
    <row r="14" spans="2:29">
      <c r="D14" s="175"/>
      <c r="E14" s="175"/>
      <c r="F14" s="175"/>
      <c r="G14" s="175"/>
      <c r="H14" s="175"/>
      <c r="I14" s="175"/>
      <c r="J14" s="175"/>
      <c r="K14" s="175"/>
      <c r="L14" s="175"/>
      <c r="M14" s="175"/>
    </row>
    <row r="15" spans="2:29">
      <c r="E15" s="177"/>
    </row>
    <row r="16" spans="2:29">
      <c r="C16" s="176"/>
    </row>
    <row r="17" spans="3:12" s="370" customFormat="1" ht="17.399999999999999">
      <c r="C17" s="371" t="s">
        <v>505</v>
      </c>
      <c r="D17" s="155">
        <v>2022</v>
      </c>
      <c r="E17" s="155">
        <v>2023</v>
      </c>
      <c r="F17" s="155">
        <v>2024</v>
      </c>
      <c r="G17" s="155">
        <v>2025</v>
      </c>
      <c r="H17" s="155">
        <v>2026</v>
      </c>
      <c r="I17" s="155">
        <v>2027</v>
      </c>
    </row>
    <row r="18" spans="3:12" s="370" customFormat="1" ht="17.399999999999999">
      <c r="C18" s="379" t="s">
        <v>506</v>
      </c>
      <c r="D18" s="372">
        <v>195642.5724</v>
      </c>
      <c r="E18" s="372">
        <v>193216.60450224002</v>
      </c>
      <c r="F18" s="372">
        <v>190820.71860641227</v>
      </c>
      <c r="G18" s="372">
        <v>188454.54169569275</v>
      </c>
      <c r="H18" s="372">
        <v>186117.70537866617</v>
      </c>
      <c r="I18" s="372">
        <v>183809.84583197071</v>
      </c>
      <c r="K18" s="373">
        <v>2016</v>
      </c>
      <c r="L18" s="373">
        <v>237532</v>
      </c>
    </row>
    <row r="19" spans="3:12" s="370" customFormat="1" ht="17.399999999999999">
      <c r="C19" s="381"/>
      <c r="D19" s="380"/>
      <c r="E19" s="380"/>
      <c r="F19" s="380"/>
      <c r="G19" s="380"/>
      <c r="H19" s="380"/>
      <c r="I19" s="380"/>
      <c r="K19" s="379"/>
      <c r="L19" s="379"/>
    </row>
    <row r="20" spans="3:12" ht="17.399999999999999">
      <c r="C20" s="371" t="s">
        <v>505</v>
      </c>
      <c r="D20" s="155">
        <v>2028</v>
      </c>
      <c r="E20" s="155">
        <v>2029</v>
      </c>
      <c r="F20" s="155">
        <v>2030</v>
      </c>
      <c r="G20" s="155">
        <v>2031</v>
      </c>
      <c r="H20" s="155">
        <v>2032</v>
      </c>
      <c r="I20" s="155">
        <v>2033</v>
      </c>
      <c r="K20" s="375">
        <v>2017</v>
      </c>
      <c r="L20" s="373">
        <v>175815</v>
      </c>
    </row>
    <row r="21" spans="3:12" ht="17.399999999999999">
      <c r="C21" s="379" t="s">
        <v>506</v>
      </c>
      <c r="D21" s="372">
        <v>181530.60374365427</v>
      </c>
      <c r="E21" s="372">
        <v>179279.62425723296</v>
      </c>
      <c r="F21" s="372">
        <v>177056.55691644328</v>
      </c>
      <c r="G21" s="372">
        <v>174861.05561067938</v>
      </c>
      <c r="H21" s="372">
        <v>172692.77852110696</v>
      </c>
      <c r="I21" s="372">
        <v>170552</v>
      </c>
      <c r="K21" s="373">
        <v>2018</v>
      </c>
      <c r="L21" s="373">
        <v>185169</v>
      </c>
    </row>
    <row r="22" spans="3:12" ht="17.399999999999999">
      <c r="C22" s="381"/>
      <c r="D22" s="380"/>
      <c r="E22" s="380"/>
      <c r="F22" s="380"/>
      <c r="G22" s="380"/>
      <c r="H22" s="380"/>
      <c r="I22" s="380"/>
      <c r="K22" s="379"/>
      <c r="L22" s="379"/>
    </row>
    <row r="23" spans="3:12" ht="17.399999999999999">
      <c r="C23" s="371" t="s">
        <v>505</v>
      </c>
      <c r="D23" s="155">
        <v>2034</v>
      </c>
      <c r="E23" s="155">
        <v>2035</v>
      </c>
      <c r="F23" s="155">
        <v>2036</v>
      </c>
      <c r="G23" s="155">
        <v>2037</v>
      </c>
      <c r="H23" s="155">
        <v>2038</v>
      </c>
      <c r="I23" s="155">
        <v>2039</v>
      </c>
      <c r="K23" s="375">
        <v>2019</v>
      </c>
      <c r="L23" s="373">
        <v>201080</v>
      </c>
    </row>
    <row r="24" spans="3:12" ht="17.399999999999999">
      <c r="C24" s="379" t="s">
        <v>506</v>
      </c>
      <c r="D24" s="372">
        <v>168436.55085540892</v>
      </c>
      <c r="E24" s="372">
        <v>166347.93762480185</v>
      </c>
      <c r="F24" s="372">
        <v>164285.2231982543</v>
      </c>
      <c r="G24" s="372">
        <v>162248.08643059595</v>
      </c>
      <c r="H24" s="372">
        <v>160236.21015885656</v>
      </c>
      <c r="I24" s="372">
        <v>158249.28115288675</v>
      </c>
      <c r="K24" s="373">
        <v>2020</v>
      </c>
      <c r="L24" s="373">
        <v>215790</v>
      </c>
    </row>
    <row r="25" spans="3:12" ht="17.399999999999999">
      <c r="C25" s="381"/>
      <c r="D25" s="380"/>
      <c r="E25" s="380"/>
      <c r="F25" s="380"/>
      <c r="G25" s="380"/>
      <c r="H25" s="380"/>
      <c r="I25" s="380"/>
      <c r="K25" s="379"/>
      <c r="L25" s="379"/>
    </row>
    <row r="26" spans="3:12" ht="17.399999999999999">
      <c r="C26" s="371" t="s">
        <v>505</v>
      </c>
      <c r="D26" s="155">
        <v>2040</v>
      </c>
      <c r="E26" s="155">
        <v>2041</v>
      </c>
      <c r="F26" s="155">
        <v>2042</v>
      </c>
      <c r="G26" s="155">
        <v>2043</v>
      </c>
      <c r="H26" s="155">
        <v>2044</v>
      </c>
      <c r="I26" s="229"/>
      <c r="K26" s="375">
        <v>2021</v>
      </c>
      <c r="L26" s="373">
        <v>212642</v>
      </c>
    </row>
    <row r="27" spans="3:12" ht="17.399999999999999">
      <c r="C27" s="379" t="s">
        <v>506</v>
      </c>
      <c r="D27" s="372">
        <v>156286.99006659095</v>
      </c>
      <c r="E27" s="372">
        <v>154349.03138976524</v>
      </c>
      <c r="F27" s="372">
        <v>152435.10340053216</v>
      </c>
      <c r="G27" s="372">
        <v>150544.90811836557</v>
      </c>
      <c r="H27" s="372">
        <v>148678.15125769784</v>
      </c>
      <c r="I27" s="229"/>
    </row>
  </sheetData>
  <mergeCells count="4">
    <mergeCell ref="B2:B3"/>
    <mergeCell ref="C2:C3"/>
    <mergeCell ref="D2:F2"/>
    <mergeCell ref="G2:Z2"/>
  </mergeCells>
  <phoneticPr fontId="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8"/>
  <sheetViews>
    <sheetView showGridLines="0" topLeftCell="A11" zoomScale="90" zoomScaleNormal="90" workbookViewId="0">
      <selection activeCell="D45" sqref="D45:H45"/>
    </sheetView>
  </sheetViews>
  <sheetFormatPr defaultColWidth="11" defaultRowHeight="15.6"/>
  <cols>
    <col min="3" max="3" width="32" bestFit="1" customWidth="1"/>
    <col min="4" max="18" width="13.90625" bestFit="1" customWidth="1"/>
  </cols>
  <sheetData>
    <row r="1" spans="2:9" ht="24.9" customHeight="1"/>
    <row r="2" spans="2:9" ht="24.9" customHeight="1">
      <c r="B2" s="646" t="s">
        <v>112</v>
      </c>
      <c r="C2" s="646" t="s">
        <v>348</v>
      </c>
      <c r="D2" s="648" t="s">
        <v>498</v>
      </c>
      <c r="E2" s="649"/>
      <c r="F2" s="650"/>
      <c r="G2" s="648" t="s">
        <v>497</v>
      </c>
      <c r="H2" s="649"/>
      <c r="I2" s="650"/>
    </row>
    <row r="3" spans="2:9" ht="24.9" customHeight="1">
      <c r="B3" s="646"/>
      <c r="C3" s="646"/>
      <c r="D3" s="155">
        <f>财承简表!D3</f>
        <v>2022</v>
      </c>
      <c r="E3" s="155">
        <f>财承简表!E3</f>
        <v>2023</v>
      </c>
      <c r="F3" s="155">
        <f>财承简表!F3</f>
        <v>2024</v>
      </c>
      <c r="G3" s="155">
        <f>财承简表!G3</f>
        <v>2025</v>
      </c>
      <c r="H3" s="155">
        <f>财承简表!H3</f>
        <v>2026</v>
      </c>
      <c r="I3" s="155">
        <f>财承简表!I3</f>
        <v>2027</v>
      </c>
    </row>
    <row r="4" spans="2:9" ht="24.9" customHeight="1">
      <c r="B4" s="156">
        <v>1</v>
      </c>
      <c r="C4" s="156" t="s">
        <v>349</v>
      </c>
      <c r="D4" s="157">
        <f ca="1">财承简表!D4</f>
        <v>1395.4644776559358</v>
      </c>
      <c r="E4" s="157">
        <f ca="1">财承简表!E4</f>
        <v>1046.5983582419517</v>
      </c>
      <c r="F4" s="157">
        <f ca="1">财承简表!F4</f>
        <v>1046.5983582419517</v>
      </c>
      <c r="G4" s="157">
        <f ca="1">财承简表!G4</f>
        <v>2254.9215401094066</v>
      </c>
      <c r="H4" s="157">
        <f ca="1">财承简表!H4</f>
        <v>2256.8783597094066</v>
      </c>
      <c r="I4" s="157">
        <f ca="1">财承简表!I4</f>
        <v>2258.8743157014064</v>
      </c>
    </row>
    <row r="5" spans="2:9" ht="24.9" customHeight="1">
      <c r="B5" s="156">
        <v>1.1000000000000001</v>
      </c>
      <c r="C5" s="156" t="s">
        <v>350</v>
      </c>
      <c r="D5" s="157">
        <f ca="1">财承简表!D5</f>
        <v>820.46446765593578</v>
      </c>
      <c r="E5" s="157">
        <f ca="1">财承简表!E5</f>
        <v>615.34835074195178</v>
      </c>
      <c r="F5" s="157">
        <f ca="1">财承简表!F5</f>
        <v>615.34835074195178</v>
      </c>
      <c r="G5" s="157">
        <f>财承简表!G5</f>
        <v>0</v>
      </c>
      <c r="H5" s="157">
        <f>财承简表!H5</f>
        <v>0</v>
      </c>
      <c r="I5" s="157">
        <f>财承简表!I5</f>
        <v>0</v>
      </c>
    </row>
    <row r="6" spans="2:9" ht="24.9" customHeight="1">
      <c r="B6" s="156">
        <v>1.2</v>
      </c>
      <c r="C6" s="156" t="s">
        <v>292</v>
      </c>
      <c r="D6" s="157">
        <f>财承简表!D6</f>
        <v>0</v>
      </c>
      <c r="E6" s="157">
        <f>财承简表!E6</f>
        <v>0</v>
      </c>
      <c r="F6" s="157">
        <f>财承简表!F6</f>
        <v>0</v>
      </c>
      <c r="G6" s="157">
        <f ca="1">财承简表!G6</f>
        <v>2252.7685601094067</v>
      </c>
      <c r="H6" s="157">
        <f ca="1">财承简表!H6</f>
        <v>2254.6823201094066</v>
      </c>
      <c r="I6" s="157">
        <f ca="1">财承简表!I6</f>
        <v>2256.6343553094066</v>
      </c>
    </row>
    <row r="7" spans="2:9" ht="24.9" customHeight="1">
      <c r="B7" s="156">
        <v>1.3</v>
      </c>
      <c r="C7" s="156" t="s">
        <v>351</v>
      </c>
      <c r="D7" s="157">
        <f>财承简表!D7</f>
        <v>575.00000999999997</v>
      </c>
      <c r="E7" s="157">
        <f>财承简表!E7</f>
        <v>431.25000749999998</v>
      </c>
      <c r="F7" s="157">
        <f>财承简表!F7</f>
        <v>431.25000749999998</v>
      </c>
      <c r="G7" s="157">
        <f>财承简表!G7</f>
        <v>2.1529799999999994</v>
      </c>
      <c r="H7" s="157">
        <f>财承简表!H7</f>
        <v>2.1960395999999993</v>
      </c>
      <c r="I7" s="157">
        <f>财承简表!I7</f>
        <v>2.2399603919999995</v>
      </c>
    </row>
    <row r="8" spans="2:9" ht="24.9" customHeight="1">
      <c r="B8" s="156">
        <v>1.4</v>
      </c>
      <c r="C8" s="156" t="s">
        <v>352</v>
      </c>
      <c r="D8" s="157">
        <f>财承简表!D8</f>
        <v>0</v>
      </c>
      <c r="E8" s="157">
        <f>财承简表!E8</f>
        <v>0</v>
      </c>
      <c r="F8" s="157">
        <f>财承简表!F8</f>
        <v>0</v>
      </c>
      <c r="G8" s="157">
        <f>财承简表!G8</f>
        <v>0</v>
      </c>
      <c r="H8" s="157">
        <f>财承简表!H8</f>
        <v>0</v>
      </c>
      <c r="I8" s="157">
        <f>财承简表!I8</f>
        <v>0</v>
      </c>
    </row>
    <row r="9" spans="2:9" ht="24.9" customHeight="1">
      <c r="B9" s="156">
        <v>2</v>
      </c>
      <c r="C9" s="156" t="s">
        <v>353</v>
      </c>
      <c r="D9" s="158">
        <f>财承简表!D9</f>
        <v>195642.5724</v>
      </c>
      <c r="E9" s="158">
        <f>财承简表!E9</f>
        <v>193216.60450224002</v>
      </c>
      <c r="F9" s="158">
        <f>财承简表!F9</f>
        <v>190820.71860641227</v>
      </c>
      <c r="G9" s="158">
        <f>财承简表!G9</f>
        <v>188454.54169569275</v>
      </c>
      <c r="H9" s="158">
        <f>财承简表!H9</f>
        <v>186117.70537866617</v>
      </c>
      <c r="I9" s="158">
        <f>财承简表!I9</f>
        <v>183809.84583197071</v>
      </c>
    </row>
    <row r="10" spans="2:9" ht="24.9" customHeight="1">
      <c r="B10" s="156">
        <v>3</v>
      </c>
      <c r="C10" s="156" t="s">
        <v>293</v>
      </c>
      <c r="D10" s="224">
        <f ca="1">财承简表!D10</f>
        <v>7.1327240310603054E-3</v>
      </c>
      <c r="E10" s="224">
        <f ca="1">财承简表!E10</f>
        <v>5.4167102301490768E-3</v>
      </c>
      <c r="F10" s="224">
        <f ca="1">财承简表!F10</f>
        <v>5.484720767668161E-3</v>
      </c>
      <c r="G10" s="224">
        <f ca="1">财承简表!G10</f>
        <v>1.1965334026019625E-2</v>
      </c>
      <c r="H10" s="224">
        <f ca="1">财承简表!H10</f>
        <v>1.2126080939573534E-2</v>
      </c>
      <c r="I10" s="224">
        <f ca="1">财承简表!I10</f>
        <v>1.2289191068504297E-2</v>
      </c>
    </row>
    <row r="11" spans="2:9" ht="24.9" customHeight="1">
      <c r="B11" s="156">
        <v>4</v>
      </c>
      <c r="C11" s="156" t="s">
        <v>355</v>
      </c>
      <c r="D11" s="157">
        <f>财承简表!D11</f>
        <v>7736.45</v>
      </c>
      <c r="E11" s="157">
        <f>财承简表!E11</f>
        <v>7736.45</v>
      </c>
      <c r="F11" s="157">
        <f>财承简表!F11</f>
        <v>7736.45</v>
      </c>
      <c r="G11" s="157">
        <f>财承简表!G11</f>
        <v>7736.45</v>
      </c>
      <c r="H11" s="157">
        <f>财承简表!H11</f>
        <v>7736.45</v>
      </c>
      <c r="I11" s="157">
        <f>财承简表!I11</f>
        <v>7736.45</v>
      </c>
    </row>
    <row r="12" spans="2:9" ht="24.9" customHeight="1">
      <c r="B12" s="170">
        <v>5</v>
      </c>
      <c r="C12" s="170" t="s">
        <v>354</v>
      </c>
      <c r="D12" s="224">
        <f ca="1">财承简表!D12</f>
        <v>4.6676520174685328E-2</v>
      </c>
      <c r="E12" s="224">
        <f ca="1">财承简表!E12</f>
        <v>4.5457006041839054E-2</v>
      </c>
      <c r="F12" s="224">
        <f ca="1">财承简表!F12</f>
        <v>4.6027750143619935E-2</v>
      </c>
      <c r="G12" s="224">
        <f ca="1">财承简表!G12</f>
        <v>5.3017409133301698E-2</v>
      </c>
      <c r="H12" s="224">
        <f ca="1">财承简表!H12</f>
        <v>5.3693593198870897E-2</v>
      </c>
      <c r="I12" s="224">
        <f ca="1">财承简表!I12</f>
        <v>5.437861214920231E-2</v>
      </c>
    </row>
    <row r="13" spans="2:9" ht="24.9" customHeight="1"/>
    <row r="14" spans="2:9" ht="24.9" customHeight="1">
      <c r="B14" s="646" t="s">
        <v>112</v>
      </c>
      <c r="C14" s="646" t="s">
        <v>348</v>
      </c>
      <c r="D14" s="648" t="s">
        <v>497</v>
      </c>
      <c r="E14" s="649"/>
      <c r="F14" s="649"/>
      <c r="G14" s="649"/>
      <c r="H14" s="649"/>
      <c r="I14" s="650"/>
    </row>
    <row r="15" spans="2:9" ht="24.9" customHeight="1">
      <c r="B15" s="646"/>
      <c r="C15" s="646"/>
      <c r="D15" s="155">
        <f>财承简表!J3</f>
        <v>2028</v>
      </c>
      <c r="E15" s="155">
        <f>财承简表!K3</f>
        <v>2029</v>
      </c>
      <c r="F15" s="155">
        <f>财承简表!L3</f>
        <v>2030</v>
      </c>
      <c r="G15" s="155">
        <f>财承简表!M3</f>
        <v>2031</v>
      </c>
      <c r="H15" s="155">
        <f>财承简表!N3</f>
        <v>2032</v>
      </c>
      <c r="I15" s="155">
        <f>财承简表!O3</f>
        <v>2033</v>
      </c>
    </row>
    <row r="16" spans="2:9" ht="24.9" customHeight="1">
      <c r="B16" s="156">
        <v>1</v>
      </c>
      <c r="C16" s="156" t="s">
        <v>349</v>
      </c>
      <c r="D16" s="157">
        <f ca="1">财承简表!J4</f>
        <v>2202.9620243132467</v>
      </c>
      <c r="E16" s="157">
        <f ca="1">财承简表!K4</f>
        <v>2205.0386169273233</v>
      </c>
      <c r="F16" s="157">
        <f ca="1">财承简表!L4</f>
        <v>2207.1567413936814</v>
      </c>
      <c r="G16" s="157">
        <f ca="1">财承简表!M4</f>
        <v>2148.471653524367</v>
      </c>
      <c r="H16" s="157">
        <f ca="1">财承简表!N4</f>
        <v>2150.6753502191664</v>
      </c>
      <c r="I16" s="157">
        <f ca="1">财承简表!O4</f>
        <v>2152.9231208478614</v>
      </c>
    </row>
    <row r="17" spans="2:9" ht="24.9" customHeight="1">
      <c r="B17" s="156">
        <v>1.1000000000000001</v>
      </c>
      <c r="C17" s="156" t="s">
        <v>350</v>
      </c>
      <c r="D17" s="157">
        <f>财承简表!J5</f>
        <v>0</v>
      </c>
      <c r="E17" s="157">
        <f>财承简表!K5</f>
        <v>0</v>
      </c>
      <c r="F17" s="157">
        <f>财承简表!L5</f>
        <v>0</v>
      </c>
      <c r="G17" s="157">
        <f>财承简表!M5</f>
        <v>0</v>
      </c>
      <c r="H17" s="157">
        <f>财承简表!N5</f>
        <v>0</v>
      </c>
      <c r="I17" s="157">
        <f>财承简表!O5</f>
        <v>0</v>
      </c>
    </row>
    <row r="18" spans="2:9" ht="24.9" customHeight="1">
      <c r="B18" s="156">
        <v>1.2</v>
      </c>
      <c r="C18" s="156" t="s">
        <v>292</v>
      </c>
      <c r="D18" s="157">
        <f ca="1">财承简表!J6</f>
        <v>2200.6772647134067</v>
      </c>
      <c r="E18" s="157">
        <f ca="1">财承简表!K6</f>
        <v>2202.7081621354864</v>
      </c>
      <c r="F18" s="157">
        <f ca="1">财承简表!L6</f>
        <v>2204.7796775060078</v>
      </c>
      <c r="G18" s="157">
        <f ca="1">财承简表!M6</f>
        <v>2146.0470483589402</v>
      </c>
      <c r="H18" s="157">
        <f ca="1">财承简表!N6</f>
        <v>2148.2022529504306</v>
      </c>
      <c r="I18" s="157">
        <f ca="1">财承简表!O6</f>
        <v>2150.4005616337513</v>
      </c>
    </row>
    <row r="19" spans="2:9" ht="24.9" customHeight="1">
      <c r="B19" s="156">
        <v>1.3</v>
      </c>
      <c r="C19" s="156" t="s">
        <v>351</v>
      </c>
      <c r="D19" s="157">
        <f>财承简表!J7</f>
        <v>2.2847595998399997</v>
      </c>
      <c r="E19" s="157">
        <f>财承简表!K7</f>
        <v>2.3304547918367997</v>
      </c>
      <c r="F19" s="157">
        <f>财承简表!L7</f>
        <v>2.3770638876735353</v>
      </c>
      <c r="G19" s="157">
        <f>财承简表!M7</f>
        <v>2.4246051654270064</v>
      </c>
      <c r="H19" s="157">
        <f>财承简表!N7</f>
        <v>2.4730972687355464</v>
      </c>
      <c r="I19" s="157">
        <f>财承简表!O7</f>
        <v>2.5225592141102573</v>
      </c>
    </row>
    <row r="20" spans="2:9" ht="24.9" customHeight="1">
      <c r="B20" s="156">
        <v>1.4</v>
      </c>
      <c r="C20" s="156" t="s">
        <v>352</v>
      </c>
      <c r="D20" s="157">
        <f>财承简表!J8</f>
        <v>0</v>
      </c>
      <c r="E20" s="157">
        <f>财承简表!K8</f>
        <v>0</v>
      </c>
      <c r="F20" s="157">
        <f>财承简表!L8</f>
        <v>0</v>
      </c>
      <c r="G20" s="157">
        <f>财承简表!M8</f>
        <v>0</v>
      </c>
      <c r="H20" s="157">
        <f>财承简表!N8</f>
        <v>0</v>
      </c>
      <c r="I20" s="157">
        <f>财承简表!O8</f>
        <v>0</v>
      </c>
    </row>
    <row r="21" spans="2:9" ht="24.9" customHeight="1">
      <c r="B21" s="156">
        <v>2</v>
      </c>
      <c r="C21" s="156" t="s">
        <v>353</v>
      </c>
      <c r="D21" s="158">
        <f>财承简表!J9</f>
        <v>181530.60374365427</v>
      </c>
      <c r="E21" s="158">
        <f>财承简表!K9</f>
        <v>179279.62425723296</v>
      </c>
      <c r="F21" s="158">
        <f>财承简表!L9</f>
        <v>177056.55691644328</v>
      </c>
      <c r="G21" s="158">
        <f>财承简表!M9</f>
        <v>174861.05561067938</v>
      </c>
      <c r="H21" s="158">
        <f>财承简表!N9</f>
        <v>172692.77852110696</v>
      </c>
      <c r="I21" s="158">
        <f>财承简表!O9</f>
        <v>170552</v>
      </c>
    </row>
    <row r="22" spans="2:9" ht="24.9" customHeight="1">
      <c r="B22" s="156">
        <v>3</v>
      </c>
      <c r="C22" s="156" t="s">
        <v>293</v>
      </c>
      <c r="D22" s="224">
        <f ca="1">财承简表!J10</f>
        <v>1.2135485581396108E-2</v>
      </c>
      <c r="E22" s="224">
        <f ca="1">财承简表!K10</f>
        <v>1.229943796492736E-2</v>
      </c>
      <c r="F22" s="224">
        <f ca="1">财承简表!L10</f>
        <v>1.24658288844693E-2</v>
      </c>
      <c r="G22" s="224">
        <f ca="1">财承简表!M10</f>
        <v>1.228673615186132E-2</v>
      </c>
      <c r="H22" s="224">
        <f ca="1">财承简表!N10</f>
        <v>1.2453765401407942E-2</v>
      </c>
      <c r="I22" s="224">
        <f ca="1">财承简表!O10</f>
        <v>1.2623265167502354E-2</v>
      </c>
    </row>
    <row r="23" spans="2:9" ht="24.9" customHeight="1">
      <c r="B23" s="156">
        <v>4</v>
      </c>
      <c r="C23" s="156" t="s">
        <v>355</v>
      </c>
      <c r="D23" s="157">
        <f>财承简表!J11</f>
        <v>7736.45</v>
      </c>
      <c r="E23" s="157">
        <f>财承简表!K11</f>
        <v>7736.45</v>
      </c>
      <c r="F23" s="157">
        <f>财承简表!L11</f>
        <v>0</v>
      </c>
      <c r="G23" s="157">
        <f>财承简表!M11</f>
        <v>0</v>
      </c>
      <c r="H23" s="157">
        <f>财承简表!N11</f>
        <v>0</v>
      </c>
      <c r="I23" s="157">
        <f>财承简表!O11</f>
        <v>0</v>
      </c>
    </row>
    <row r="24" spans="2:9" ht="24.9" customHeight="1">
      <c r="B24" s="170">
        <v>5</v>
      </c>
      <c r="C24" s="170" t="s">
        <v>354</v>
      </c>
      <c r="D24" s="224">
        <f ca="1">财承简表!J12</f>
        <v>5.4753368409158371E-2</v>
      </c>
      <c r="E24" s="224">
        <f ca="1">财承简表!K12</f>
        <v>5.5452417741924387E-2</v>
      </c>
      <c r="F24" s="224">
        <f ca="1">财承简表!L12</f>
        <v>1.24658288844693E-2</v>
      </c>
      <c r="G24" s="224">
        <f ca="1">财承简表!M12</f>
        <v>1.228673615186132E-2</v>
      </c>
      <c r="H24" s="224">
        <f ca="1">财承简表!N12</f>
        <v>1.2453765401407942E-2</v>
      </c>
      <c r="I24" s="224">
        <f ca="1">财承简表!O12</f>
        <v>1.2623265167502354E-2</v>
      </c>
    </row>
    <row r="25" spans="2:9" ht="24.9" customHeight="1"/>
    <row r="26" spans="2:9" ht="24.9" customHeight="1">
      <c r="B26" s="646" t="s">
        <v>112</v>
      </c>
      <c r="C26" s="646" t="s">
        <v>348</v>
      </c>
      <c r="D26" s="647" t="s">
        <v>497</v>
      </c>
      <c r="E26" s="647"/>
      <c r="F26" s="647"/>
      <c r="G26" s="647"/>
      <c r="H26" s="647"/>
      <c r="I26" s="647"/>
    </row>
    <row r="27" spans="2:9" ht="24.9" customHeight="1">
      <c r="B27" s="646"/>
      <c r="C27" s="646"/>
      <c r="D27" s="155">
        <f>财承简表!P3</f>
        <v>2034</v>
      </c>
      <c r="E27" s="155">
        <f>财承简表!Q3</f>
        <v>2035</v>
      </c>
      <c r="F27" s="155">
        <f>财承简表!R3</f>
        <v>2036</v>
      </c>
      <c r="G27" s="155">
        <f>财承简表!S3</f>
        <v>2037</v>
      </c>
      <c r="H27" s="155">
        <f>财承简表!T3</f>
        <v>2038</v>
      </c>
      <c r="I27" s="155">
        <f>财承简表!U3</f>
        <v>2039</v>
      </c>
    </row>
    <row r="28" spans="2:9" ht="24.9" customHeight="1">
      <c r="B28" s="156">
        <v>1</v>
      </c>
      <c r="C28" s="156" t="s">
        <v>349</v>
      </c>
      <c r="D28" s="157">
        <f ca="1">财承简表!P4</f>
        <v>2091.3279933228805</v>
      </c>
      <c r="E28" s="157">
        <f ca="1">财承简表!Q4</f>
        <v>2093.6665738849747</v>
      </c>
      <c r="F28" s="157">
        <f ca="1">财承简表!R4</f>
        <v>2096.0519260583119</v>
      </c>
      <c r="G28" s="157">
        <f ca="1">财承简表!S4</f>
        <v>2031.4027390305519</v>
      </c>
      <c r="H28" s="157">
        <f ca="1">财承简表!T4</f>
        <v>2033.8844594316911</v>
      </c>
      <c r="I28" s="157">
        <f ca="1">财承简表!U4</f>
        <v>2036.4158142408528</v>
      </c>
    </row>
    <row r="29" spans="2:9" ht="24.9" customHeight="1">
      <c r="B29" s="156">
        <v>1.1000000000000001</v>
      </c>
      <c r="C29" s="156" t="s">
        <v>350</v>
      </c>
      <c r="D29" s="157">
        <f>财承简表!P5</f>
        <v>0</v>
      </c>
      <c r="E29" s="157">
        <f>财承简表!Q5</f>
        <v>0</v>
      </c>
      <c r="F29" s="157">
        <f>财承简表!R5</f>
        <v>0</v>
      </c>
      <c r="G29" s="157">
        <f>财承简表!S5</f>
        <v>0</v>
      </c>
      <c r="H29" s="157">
        <f>财承简表!T5</f>
        <v>0</v>
      </c>
      <c r="I29" s="157">
        <f>财承简表!U5</f>
        <v>0</v>
      </c>
    </row>
    <row r="30" spans="2:9" ht="24.9" customHeight="1">
      <c r="B30" s="156">
        <v>1.2</v>
      </c>
      <c r="C30" s="156" t="s">
        <v>292</v>
      </c>
      <c r="D30" s="157">
        <f ca="1">财承简表!P6</f>
        <v>2088.7549829244881</v>
      </c>
      <c r="E30" s="157">
        <f ca="1">财承简表!Q6</f>
        <v>2091.0421032786144</v>
      </c>
      <c r="F30" s="157">
        <f ca="1">财承简表!R6</f>
        <v>2093.3749660398244</v>
      </c>
      <c r="G30" s="157">
        <f ca="1">财承简表!S6</f>
        <v>2028.6722398116947</v>
      </c>
      <c r="H30" s="157">
        <f ca="1">财承简表!T6</f>
        <v>2031.0993502284566</v>
      </c>
      <c r="I30" s="157">
        <f ca="1">财承简表!U6</f>
        <v>2033.5750028535538</v>
      </c>
    </row>
    <row r="31" spans="2:9" ht="24.9" customHeight="1">
      <c r="B31" s="156">
        <v>1.3</v>
      </c>
      <c r="C31" s="156" t="s">
        <v>351</v>
      </c>
      <c r="D31" s="157">
        <f>财承简表!P7</f>
        <v>2.5730103983924626</v>
      </c>
      <c r="E31" s="157">
        <f>财承简表!Q7</f>
        <v>2.6244706063603118</v>
      </c>
      <c r="F31" s="157">
        <f>财承简表!R7</f>
        <v>2.676960018487518</v>
      </c>
      <c r="G31" s="157">
        <f>财承简表!S7</f>
        <v>2.7304992188572688</v>
      </c>
      <c r="H31" s="157">
        <f>财承简表!T7</f>
        <v>2.785109203234414</v>
      </c>
      <c r="I31" s="157">
        <f>财承简表!U7</f>
        <v>2.8408113872991021</v>
      </c>
    </row>
    <row r="32" spans="2:9" ht="24.9" customHeight="1">
      <c r="B32" s="156">
        <v>1.4</v>
      </c>
      <c r="C32" s="156" t="s">
        <v>352</v>
      </c>
      <c r="D32" s="157">
        <f>财承简表!P8</f>
        <v>0</v>
      </c>
      <c r="E32" s="157">
        <f>财承简表!Q8</f>
        <v>0</v>
      </c>
      <c r="F32" s="157">
        <f>财承简表!R8</f>
        <v>0</v>
      </c>
      <c r="G32" s="157">
        <f>财承简表!S8</f>
        <v>0</v>
      </c>
      <c r="H32" s="157">
        <f>财承简表!T8</f>
        <v>0</v>
      </c>
      <c r="I32" s="157">
        <f>财承简表!U8</f>
        <v>0</v>
      </c>
    </row>
    <row r="33" spans="2:9" ht="24.9" customHeight="1">
      <c r="B33" s="156">
        <v>2</v>
      </c>
      <c r="C33" s="156" t="s">
        <v>353</v>
      </c>
      <c r="D33" s="158">
        <f>财承简表!P9</f>
        <v>168437.15520000001</v>
      </c>
      <c r="E33" s="158">
        <f>财承简表!Q9</f>
        <v>166348</v>
      </c>
      <c r="F33" s="158">
        <f>财承简表!R9</f>
        <v>164285.28479999999</v>
      </c>
      <c r="G33" s="158">
        <f>财承简表!S9</f>
        <v>162248.14726848001</v>
      </c>
      <c r="H33" s="158">
        <f>财承简表!T9</f>
        <v>160236.27024235087</v>
      </c>
      <c r="I33" s="158">
        <f>财承简表!U9</f>
        <v>158249.34049134573</v>
      </c>
    </row>
    <row r="34" spans="2:9" ht="24.9" customHeight="1">
      <c r="B34" s="156">
        <v>3</v>
      </c>
      <c r="C34" s="156" t="s">
        <v>293</v>
      </c>
      <c r="D34" s="224">
        <f ca="1">财承简表!P10</f>
        <v>1.2416072872043379E-2</v>
      </c>
      <c r="E34" s="224">
        <f ca="1">财承简表!Q10</f>
        <v>1.25860639976734E-2</v>
      </c>
      <c r="F34" s="224">
        <f ca="1">财承简表!R10</f>
        <v>1.2758610295560153E-2</v>
      </c>
      <c r="G34" s="224">
        <f ca="1">财承简表!S10</f>
        <v>1.2520344751111946E-2</v>
      </c>
      <c r="H34" s="224">
        <f ca="1">财承简表!T10</f>
        <v>1.2693034207271071E-2</v>
      </c>
      <c r="I34" s="224">
        <f ca="1">财承简表!U10</f>
        <v>1.286840000671105E-2</v>
      </c>
    </row>
    <row r="35" spans="2:9" ht="24.9" customHeight="1">
      <c r="B35" s="156">
        <v>4</v>
      </c>
      <c r="C35" s="156" t="s">
        <v>355</v>
      </c>
      <c r="D35" s="157">
        <f>财承简表!P11</f>
        <v>0</v>
      </c>
      <c r="E35" s="157">
        <f>财承简表!Q11</f>
        <v>0</v>
      </c>
      <c r="F35" s="157">
        <f>财承简表!R11</f>
        <v>0</v>
      </c>
      <c r="G35" s="157">
        <f>财承简表!S11</f>
        <v>0</v>
      </c>
      <c r="H35" s="157">
        <f>财承简表!T11</f>
        <v>0</v>
      </c>
      <c r="I35" s="157">
        <f>财承简表!U11</f>
        <v>0</v>
      </c>
    </row>
    <row r="36" spans="2:9" ht="24.9" customHeight="1">
      <c r="B36" s="170">
        <v>5</v>
      </c>
      <c r="C36" s="170" t="s">
        <v>354</v>
      </c>
      <c r="D36" s="224">
        <f ca="1">财承简表!P12</f>
        <v>1.2416072872043379E-2</v>
      </c>
      <c r="E36" s="224">
        <f ca="1">财承简表!Q12</f>
        <v>1.25860639976734E-2</v>
      </c>
      <c r="F36" s="224">
        <f ca="1">财承简表!R12</f>
        <v>1.2758610295560153E-2</v>
      </c>
      <c r="G36" s="224">
        <f ca="1">财承简表!S12</f>
        <v>1.2520344751111946E-2</v>
      </c>
      <c r="H36" s="224">
        <f ca="1">财承简表!T12</f>
        <v>1.2693034207271071E-2</v>
      </c>
      <c r="I36" s="224">
        <f ca="1">财承简表!U12</f>
        <v>1.286840000671105E-2</v>
      </c>
    </row>
    <row r="37" spans="2:9" ht="24.9" customHeight="1"/>
    <row r="38" spans="2:9" ht="24.9" customHeight="1">
      <c r="B38" s="646" t="s">
        <v>112</v>
      </c>
      <c r="C38" s="646" t="s">
        <v>348</v>
      </c>
      <c r="D38" s="498" t="s">
        <v>497</v>
      </c>
      <c r="E38" s="498"/>
      <c r="F38" s="498"/>
      <c r="G38" s="498"/>
      <c r="H38" s="498"/>
    </row>
    <row r="39" spans="2:9" ht="24.9" customHeight="1">
      <c r="B39" s="646"/>
      <c r="C39" s="646"/>
      <c r="D39" s="155">
        <f>财承简表!V3</f>
        <v>2040</v>
      </c>
      <c r="E39" s="155">
        <f>财承简表!W3</f>
        <v>2041</v>
      </c>
      <c r="F39" s="155">
        <f>财承简表!X3</f>
        <v>2042</v>
      </c>
      <c r="G39" s="155">
        <f>财承简表!Y3</f>
        <v>2043</v>
      </c>
      <c r="H39" s="155">
        <f>财承简表!Z3</f>
        <v>2044</v>
      </c>
    </row>
    <row r="40" spans="2:9" ht="24.9" customHeight="1">
      <c r="B40" s="156">
        <v>1</v>
      </c>
      <c r="C40" s="156" t="s">
        <v>349</v>
      </c>
      <c r="D40" s="157">
        <f ca="1">财承简表!V4</f>
        <v>1968.5614375894077</v>
      </c>
      <c r="E40" s="157">
        <f ca="1">财承简表!W4</f>
        <v>1971.1950591328593</v>
      </c>
      <c r="F40" s="157">
        <f ca="1">财承简表!X4</f>
        <v>1973.8813531071808</v>
      </c>
      <c r="G40" s="157">
        <f ca="1">财承简表!Y4</f>
        <v>1902.6631964763578</v>
      </c>
      <c r="H40" s="157">
        <f ca="1">财承简表!Z4</f>
        <v>1905.4580167272418</v>
      </c>
    </row>
    <row r="41" spans="2:9" ht="24.9" customHeight="1">
      <c r="B41" s="156">
        <v>1.1000000000000001</v>
      </c>
      <c r="C41" s="156" t="s">
        <v>350</v>
      </c>
      <c r="D41" s="157">
        <f>财承简表!V5</f>
        <v>0</v>
      </c>
      <c r="E41" s="157">
        <f>财承简表!W5</f>
        <v>0</v>
      </c>
      <c r="F41" s="157">
        <f>财承简表!X5</f>
        <v>0</v>
      </c>
      <c r="G41" s="157">
        <f>财承简表!Y5</f>
        <v>0</v>
      </c>
      <c r="H41" s="157">
        <f>财承简表!Z5</f>
        <v>0</v>
      </c>
    </row>
    <row r="42" spans="2:9" ht="24.9" customHeight="1">
      <c r="B42" s="156">
        <v>1.2</v>
      </c>
      <c r="C42" s="156" t="s">
        <v>292</v>
      </c>
      <c r="D42" s="157">
        <f ca="1">财承简表!V6</f>
        <v>1965.6638099743625</v>
      </c>
      <c r="E42" s="157">
        <f ca="1">财承简表!W6</f>
        <v>1968.2394789655134</v>
      </c>
      <c r="F42" s="157">
        <f ca="1">财承简表!X6</f>
        <v>1970.8666613364878</v>
      </c>
      <c r="G42" s="157">
        <f ca="1">财承简表!Y6</f>
        <v>1899.588210870251</v>
      </c>
      <c r="H42" s="157">
        <f ca="1">财承简表!Z6</f>
        <v>1902.3215314090128</v>
      </c>
    </row>
    <row r="43" spans="2:9" ht="24.9" customHeight="1">
      <c r="B43" s="156">
        <v>1.3</v>
      </c>
      <c r="C43" s="156" t="s">
        <v>351</v>
      </c>
      <c r="D43" s="157">
        <f>财承简表!V7</f>
        <v>2.8976276150450837</v>
      </c>
      <c r="E43" s="157">
        <f>财承简表!W7</f>
        <v>2.9555801673459854</v>
      </c>
      <c r="F43" s="157">
        <f>财承简表!X7</f>
        <v>3.0146917706929059</v>
      </c>
      <c r="G43" s="157">
        <f>财承简表!Y7</f>
        <v>3.0749856061067637</v>
      </c>
      <c r="H43" s="157">
        <f>财承简表!Z7</f>
        <v>3.1364853182288992</v>
      </c>
    </row>
    <row r="44" spans="2:9" ht="24.9" customHeight="1">
      <c r="B44" s="156">
        <v>1.4</v>
      </c>
      <c r="C44" s="156" t="s">
        <v>352</v>
      </c>
      <c r="D44" s="157">
        <f>财承简表!V8</f>
        <v>0</v>
      </c>
      <c r="E44" s="157">
        <f>财承简表!W8</f>
        <v>0</v>
      </c>
      <c r="F44" s="157">
        <f>财承简表!X8</f>
        <v>0</v>
      </c>
      <c r="G44" s="157">
        <f>财承简表!Y8</f>
        <v>0</v>
      </c>
      <c r="H44" s="157">
        <f>财承简表!Z8</f>
        <v>0</v>
      </c>
    </row>
    <row r="45" spans="2:9" ht="24.9" customHeight="1">
      <c r="B45" s="156">
        <v>2</v>
      </c>
      <c r="C45" s="156" t="s">
        <v>353</v>
      </c>
      <c r="D45" s="158">
        <f>财承简表!V9</f>
        <v>156287.04866925304</v>
      </c>
      <c r="E45" s="158">
        <f>财承简表!W9</f>
        <v>154349.0892657543</v>
      </c>
      <c r="F45" s="158">
        <f>财承简表!X9</f>
        <v>152435.16055885894</v>
      </c>
      <c r="G45" s="158">
        <f>财承简表!Y9</f>
        <v>150544.9645679291</v>
      </c>
      <c r="H45" s="158">
        <f>财承简表!Z9</f>
        <v>148678.20700728678</v>
      </c>
    </row>
    <row r="46" spans="2:9" ht="24.9" customHeight="1">
      <c r="B46" s="156">
        <v>3</v>
      </c>
      <c r="C46" s="156" t="s">
        <v>293</v>
      </c>
      <c r="D46" s="224">
        <f ca="1">财承简表!V10</f>
        <v>1.2595806590189263E-2</v>
      </c>
      <c r="E46" s="224">
        <f ca="1">财承简表!W10</f>
        <v>1.27710184006263E-2</v>
      </c>
      <c r="F46" s="224">
        <f ca="1">财承简表!X10</f>
        <v>1.2948989890983956E-2</v>
      </c>
      <c r="G46" s="224">
        <f ca="1">财承简表!Y10</f>
        <v>1.2638504395926412E-2</v>
      </c>
      <c r="H46" s="224">
        <f ca="1">财承简表!Z10</f>
        <v>1.2815987326467116E-2</v>
      </c>
    </row>
    <row r="47" spans="2:9" ht="24.9" customHeight="1">
      <c r="B47" s="156">
        <v>4</v>
      </c>
      <c r="C47" s="156" t="s">
        <v>355</v>
      </c>
      <c r="D47" s="157">
        <f>财承简表!V11</f>
        <v>0</v>
      </c>
      <c r="E47" s="157">
        <f>财承简表!W11</f>
        <v>0</v>
      </c>
      <c r="F47" s="157">
        <f>财承简表!X11</f>
        <v>0</v>
      </c>
      <c r="G47" s="157">
        <f>财承简表!Y11</f>
        <v>0</v>
      </c>
      <c r="H47" s="157">
        <f>财承简表!Z11</f>
        <v>0</v>
      </c>
    </row>
    <row r="48" spans="2:9" ht="24.9" customHeight="1">
      <c r="B48" s="170">
        <v>5</v>
      </c>
      <c r="C48" s="170" t="s">
        <v>354</v>
      </c>
      <c r="D48" s="224">
        <f ca="1">财承简表!V12</f>
        <v>1.2595806590189263E-2</v>
      </c>
      <c r="E48" s="224">
        <f ca="1">财承简表!W12</f>
        <v>1.27710184006263E-2</v>
      </c>
      <c r="F48" s="224">
        <f ca="1">财承简表!X12</f>
        <v>1.2948989890983956E-2</v>
      </c>
      <c r="G48" s="224">
        <f ca="1">财承简表!Y12</f>
        <v>1.2638504395926412E-2</v>
      </c>
      <c r="H48" s="224">
        <f ca="1">财承简表!Z12</f>
        <v>1.2815987326467116E-2</v>
      </c>
    </row>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sheetData>
  <mergeCells count="13">
    <mergeCell ref="G2:I2"/>
    <mergeCell ref="B2:B3"/>
    <mergeCell ref="C2:C3"/>
    <mergeCell ref="B14:B15"/>
    <mergeCell ref="C14:C15"/>
    <mergeCell ref="D2:F2"/>
    <mergeCell ref="B38:B39"/>
    <mergeCell ref="C38:C39"/>
    <mergeCell ref="D38:H38"/>
    <mergeCell ref="D14:I14"/>
    <mergeCell ref="D26:I26"/>
    <mergeCell ref="B26:B27"/>
    <mergeCell ref="C26:C27"/>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42</vt:i4>
      </vt:variant>
    </vt:vector>
  </HeadingPairs>
  <TitlesOfParts>
    <vt:vector size="42" baseType="lpstr">
      <vt:lpstr>附图</vt:lpstr>
      <vt:lpstr>Sheet1</vt:lpstr>
      <vt:lpstr>项目清单</vt:lpstr>
      <vt:lpstr>方案附表</vt:lpstr>
      <vt:lpstr>Sheet3</vt:lpstr>
      <vt:lpstr>可研资料整理</vt:lpstr>
      <vt:lpstr>1-1投资估算表--子项目</vt:lpstr>
      <vt:lpstr>2-1投资计划表--子项目</vt:lpstr>
      <vt:lpstr>2-1投资计划表--分子项</vt:lpstr>
      <vt:lpstr>3资产及税金估算表</vt:lpstr>
      <vt:lpstr>3-1资产及税金估算表--子项目</vt:lpstr>
      <vt:lpstr>3-2折旧摊销</vt:lpstr>
      <vt:lpstr>3-2-1折旧摊销--子项目</vt:lpstr>
      <vt:lpstr>4还本付息计划表</vt:lpstr>
      <vt:lpstr>4-1还本付息计划表--子项目</vt:lpstr>
      <vt:lpstr>2总成本估算表</vt:lpstr>
      <vt:lpstr>5-2成本估算--附表</vt:lpstr>
      <vt:lpstr>1投资估算</vt:lpstr>
      <vt:lpstr>2运营成本报价</vt:lpstr>
      <vt:lpstr>5-1运营成本--各子项目内容</vt:lpstr>
      <vt:lpstr>3使用者付费收入</vt:lpstr>
      <vt:lpstr>4停车场项目的运营成本及收入</vt:lpstr>
      <vt:lpstr>6-1使用者付费收入--方案附表</vt:lpstr>
      <vt:lpstr>2投资计划表</vt:lpstr>
      <vt:lpstr>5政府补贴测算</vt:lpstr>
      <vt:lpstr>7-1政府补贴测算--方案附表</vt:lpstr>
      <vt:lpstr>检验</vt:lpstr>
      <vt:lpstr>8税金及附加</vt:lpstr>
      <vt:lpstr>9利润与利润分配表</vt:lpstr>
      <vt:lpstr>10全投资现金流量表</vt:lpstr>
      <vt:lpstr>11资本金现金流量表</vt:lpstr>
      <vt:lpstr>12计划现金流量表</vt:lpstr>
      <vt:lpstr>13资产负债表</vt:lpstr>
      <vt:lpstr>14投资各方现金流量表</vt:lpstr>
      <vt:lpstr>15PSC值估算</vt:lpstr>
      <vt:lpstr>风险承担支出责任表</vt:lpstr>
      <vt:lpstr>16PPP值估算</vt:lpstr>
      <vt:lpstr>17财政承受能力论证</vt:lpstr>
      <vt:lpstr>Sheet2</vt:lpstr>
      <vt:lpstr>物有所值评价定量分析</vt:lpstr>
      <vt:lpstr>财承简表</vt:lpstr>
      <vt:lpstr>财承简表--方案附表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xy</cp:lastModifiedBy>
  <dcterms:created xsi:type="dcterms:W3CDTF">2021-07-26T02:22:00Z</dcterms:created>
  <dcterms:modified xsi:type="dcterms:W3CDTF">2022-11-16T01:59:59Z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2B4E133AA2194EFE924054AEEF83C393</vt:lpwstr>
  </property>
</Properties>
</file>