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75" tabRatio="887" firstSheet="7" activeTab="2"/>
  </bookViews>
  <sheets>
    <sheet name="混凝土砂浆单价计算表" sheetId="104" state="hidden" r:id="rId1"/>
    <sheet name="封面" sheetId="107" r:id="rId2"/>
    <sheet name="设备清单表 " sheetId="108" r:id="rId3"/>
    <sheet name="工程施工费单价汇总表" sheetId="97" state="hidden" r:id="rId4"/>
    <sheet name="季度分月用款计划表 " sheetId="63" state="hidden" r:id="rId5"/>
    <sheet name="设备费预算表" sheetId="105" state="hidden" r:id="rId6"/>
    <sheet name="土地开发整理项目总预算及分年度预算表 " sheetId="4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3">工程施工费单价汇总表!$A$1:$P$30</definedName>
    <definedName name="_xlnm.Print_Area" localSheetId="4">'季度分月用款计划表 '!$A$1:$P$19</definedName>
    <definedName name="_xlnm.Print_Area" localSheetId="6">'土地开发整理项目总预算及分年度预算表 '!$A$1:$Z$14</definedName>
    <definedName name="_xlnm.Print_Titles" localSheetId="3">工程施工费单价汇总表!$1:$5</definedName>
    <definedName name="_xlnm.Print_Titles" localSheetId="2">'设备清单表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<sst xmlns="http://schemas.openxmlformats.org/spreadsheetml/2006/main" count="393" uniqueCount="272">
  <si>
    <t>附表6</t>
  </si>
  <si>
    <t>混凝土、砂浆单价计算表</t>
  </si>
  <si>
    <t>编号</t>
  </si>
  <si>
    <t>砼强度等级</t>
  </si>
  <si>
    <t>水泥强
度等级</t>
  </si>
  <si>
    <t>级
配</t>
  </si>
  <si>
    <t xml:space="preserve">水泥</t>
  </si>
  <si>
    <t>砂</t>
  </si>
  <si>
    <t>石子</t>
  </si>
  <si>
    <t>水</t>
  </si>
  <si>
    <t>外加剂</t>
  </si>
  <si>
    <r>
      <rPr>
        <b/>
        <sz val="11"/>
        <color indexed="8"/>
        <rFont val="宋体"/>
        <charset val="134"/>
      </rPr>
      <t>单价</t>
    </r>
    <r>
      <rPr>
        <b/>
        <sz val="11"/>
        <color indexed="8"/>
        <rFont val="Times New Roman"/>
        <charset val="134"/>
      </rPr>
      <t>(</t>
    </r>
    <r>
      <rPr>
        <b/>
        <sz val="11"/>
        <color indexed="8"/>
        <rFont val="宋体"/>
        <charset val="134"/>
      </rPr>
      <t>元</t>
    </r>
    <r>
      <rPr>
        <b/>
        <sz val="11"/>
        <color indexed="8"/>
        <rFont val="Times New Roman"/>
        <charset val="134"/>
      </rPr>
      <t>)</t>
    </r>
  </si>
  <si>
    <t>kg</t>
  </si>
  <si>
    <t>单价</t>
  </si>
  <si>
    <r>
      <rPr>
        <b/>
        <sz val="11"/>
        <color indexed="8"/>
        <rFont val="Times New Roman"/>
        <charset val="134"/>
      </rPr>
      <t>m</t>
    </r>
    <r>
      <rPr>
        <b/>
        <vertAlign val="superscript"/>
        <sz val="11"/>
        <color indexed="8"/>
        <rFont val="Times New Roman"/>
        <charset val="134"/>
      </rPr>
      <t>3</t>
    </r>
  </si>
  <si>
    <t>1</t>
  </si>
  <si>
    <r>
      <rPr>
        <sz val="11"/>
        <color indexed="8"/>
        <rFont val="宋体"/>
        <charset val="134"/>
      </rPr>
      <t>纯混凝土</t>
    </r>
    <r>
      <rPr>
        <sz val="11"/>
        <color indexed="8"/>
        <rFont val="Times New Roman"/>
        <charset val="134"/>
      </rPr>
      <t xml:space="preserve">C10 </t>
    </r>
    <r>
      <rPr>
        <sz val="11"/>
        <color indexed="8"/>
        <rFont val="宋体"/>
        <charset val="134"/>
      </rPr>
      <t>粒径</t>
    </r>
    <r>
      <rPr>
        <sz val="11"/>
        <color indexed="8"/>
        <rFont val="Times New Roman"/>
        <charset val="134"/>
      </rPr>
      <t xml:space="preserve">20 </t>
    </r>
    <r>
      <rPr>
        <sz val="11"/>
        <color indexed="8"/>
        <rFont val="宋体"/>
        <charset val="134"/>
      </rPr>
      <t>水泥</t>
    </r>
    <r>
      <rPr>
        <sz val="11"/>
        <color indexed="8"/>
        <rFont val="Times New Roman"/>
        <charset val="134"/>
      </rPr>
      <t>32.5</t>
    </r>
    <r>
      <rPr>
        <sz val="11"/>
        <color indexed="8"/>
        <rFont val="宋体"/>
        <charset val="134"/>
      </rPr>
      <t>水灰比</t>
    </r>
    <r>
      <rPr>
        <sz val="11"/>
        <color indexed="8"/>
        <rFont val="Times New Roman"/>
        <charset val="134"/>
      </rPr>
      <t>0.75</t>
    </r>
  </si>
  <si>
    <t>32.5</t>
  </si>
  <si>
    <t>237</t>
  </si>
  <si>
    <t>0.58</t>
  </si>
  <si>
    <t>0.72</t>
  </si>
  <si>
    <t>0.17</t>
  </si>
  <si>
    <t>2</t>
  </si>
  <si>
    <r>
      <rPr>
        <sz val="11"/>
        <color indexed="8"/>
        <rFont val="宋体"/>
        <charset val="134"/>
      </rPr>
      <t>纯混凝土</t>
    </r>
    <r>
      <rPr>
        <sz val="11"/>
        <color indexed="8"/>
        <rFont val="Times New Roman"/>
        <charset val="134"/>
      </rPr>
      <t xml:space="preserve">C15 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粒径</t>
    </r>
    <r>
      <rPr>
        <sz val="11"/>
        <color indexed="8"/>
        <rFont val="Times New Roman"/>
        <charset val="134"/>
      </rPr>
      <t xml:space="preserve">20 </t>
    </r>
    <r>
      <rPr>
        <sz val="11"/>
        <color indexed="8"/>
        <rFont val="宋体"/>
        <charset val="134"/>
      </rPr>
      <t>水泥</t>
    </r>
    <r>
      <rPr>
        <sz val="11"/>
        <color indexed="8"/>
        <rFont val="Times New Roman"/>
        <charset val="134"/>
      </rPr>
      <t xml:space="preserve">32.5 </t>
    </r>
    <r>
      <rPr>
        <sz val="11"/>
        <color indexed="8"/>
        <rFont val="宋体"/>
        <charset val="134"/>
      </rPr>
      <t>水灰比</t>
    </r>
    <r>
      <rPr>
        <sz val="11"/>
        <color indexed="8"/>
        <rFont val="Times New Roman"/>
        <charset val="134"/>
      </rPr>
      <t>0.65</t>
    </r>
  </si>
  <si>
    <t>270</t>
  </si>
  <si>
    <t>0.57</t>
  </si>
  <si>
    <t>0.7</t>
  </si>
  <si>
    <t>3</t>
  </si>
  <si>
    <r>
      <rPr>
        <sz val="11"/>
        <color indexed="8"/>
        <rFont val="宋体"/>
        <charset val="134"/>
      </rPr>
      <t>纯混凝土</t>
    </r>
    <r>
      <rPr>
        <sz val="11"/>
        <color indexed="8"/>
        <rFont val="Times New Roman"/>
        <charset val="134"/>
      </rPr>
      <t xml:space="preserve">C20 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粒径</t>
    </r>
    <r>
      <rPr>
        <sz val="11"/>
        <color indexed="8"/>
        <rFont val="Times New Roman"/>
        <charset val="134"/>
      </rPr>
      <t xml:space="preserve">20 </t>
    </r>
    <r>
      <rPr>
        <sz val="11"/>
        <color indexed="8"/>
        <rFont val="宋体"/>
        <charset val="134"/>
      </rPr>
      <t>水泥</t>
    </r>
    <r>
      <rPr>
        <sz val="11"/>
        <color indexed="8"/>
        <rFont val="Times New Roman"/>
        <charset val="134"/>
      </rPr>
      <t xml:space="preserve">42.5 </t>
    </r>
    <r>
      <rPr>
        <sz val="11"/>
        <color indexed="8"/>
        <rFont val="宋体"/>
        <charset val="134"/>
      </rPr>
      <t>水灰比</t>
    </r>
    <r>
      <rPr>
        <sz val="11"/>
        <color indexed="8"/>
        <rFont val="Times New Roman"/>
        <charset val="134"/>
      </rPr>
      <t>0.6</t>
    </r>
  </si>
  <si>
    <t>42.5</t>
  </si>
  <si>
    <t>294</t>
  </si>
  <si>
    <t>0.56</t>
  </si>
  <si>
    <t>0.71</t>
  </si>
  <si>
    <t>4</t>
  </si>
  <si>
    <r>
      <rPr>
        <sz val="11"/>
        <color indexed="8"/>
        <rFont val="宋体"/>
        <charset val="134"/>
      </rPr>
      <t>纯混凝土</t>
    </r>
    <r>
      <rPr>
        <sz val="11"/>
        <color indexed="8"/>
        <rFont val="Times New Roman"/>
        <charset val="134"/>
      </rPr>
      <t>C25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粒径</t>
    </r>
    <r>
      <rPr>
        <sz val="11"/>
        <color indexed="8"/>
        <rFont val="Times New Roman"/>
        <charset val="134"/>
      </rPr>
      <t xml:space="preserve">20 </t>
    </r>
    <r>
      <rPr>
        <sz val="11"/>
        <color indexed="8"/>
        <rFont val="宋体"/>
        <charset val="134"/>
      </rPr>
      <t>水泥</t>
    </r>
    <r>
      <rPr>
        <sz val="11"/>
        <color indexed="8"/>
        <rFont val="Times New Roman"/>
        <charset val="134"/>
      </rPr>
      <t xml:space="preserve">42.5 </t>
    </r>
    <r>
      <rPr>
        <sz val="11"/>
        <color indexed="8"/>
        <rFont val="宋体"/>
        <charset val="134"/>
      </rPr>
      <t>水灰比</t>
    </r>
    <r>
      <rPr>
        <sz val="11"/>
        <color indexed="8"/>
        <rFont val="Times New Roman"/>
        <charset val="134"/>
      </rPr>
      <t>0.55</t>
    </r>
  </si>
  <si>
    <t>5</t>
  </si>
  <si>
    <r>
      <rPr>
        <sz val="11"/>
        <color indexed="8"/>
        <rFont val="Times New Roman"/>
        <charset val="134"/>
      </rPr>
      <t>M5</t>
    </r>
    <r>
      <rPr>
        <sz val="11"/>
        <color indexed="8"/>
        <rFont val="宋体"/>
        <charset val="134"/>
      </rPr>
      <t>水泥砂浆</t>
    </r>
  </si>
  <si>
    <t>6</t>
  </si>
  <si>
    <r>
      <rPr>
        <sz val="11"/>
        <color indexed="8"/>
        <rFont val="Times New Roman"/>
        <charset val="134"/>
      </rPr>
      <t>M7.5</t>
    </r>
    <r>
      <rPr>
        <sz val="11"/>
        <color indexed="8"/>
        <rFont val="宋体"/>
        <charset val="134"/>
      </rPr>
      <t>水泥砂浆</t>
    </r>
  </si>
  <si>
    <t>7</t>
  </si>
  <si>
    <r>
      <rPr>
        <sz val="11"/>
        <color indexed="8"/>
        <rFont val="Times New Roman"/>
        <charset val="134"/>
      </rPr>
      <t>M10</t>
    </r>
    <r>
      <rPr>
        <sz val="11"/>
        <color indexed="8"/>
        <rFont val="宋体"/>
        <charset val="134"/>
      </rPr>
      <t>水泥砂浆</t>
    </r>
  </si>
  <si>
    <t>卓资县百种固废分解加工可降解建设项目</t>
  </si>
  <si>
    <t>工程</t>
  </si>
  <si>
    <t>招标设备清单</t>
  </si>
  <si>
    <t>招  标  人：</t>
  </si>
  <si>
    <t>造 价咨询人：</t>
  </si>
  <si>
    <t>(单位盖章)</t>
  </si>
  <si>
    <t>(单位资质专用章)</t>
  </si>
  <si>
    <t>法定代表人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</si>
  <si>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</si>
  <si>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</si>
  <si>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</si>
  <si>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</si>
  <si>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</si>
  <si>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编 制 时 间：</t>
  </si>
  <si>
    <t xml:space="preserve">    年   月   日</t>
  </si>
  <si>
    <t>复 核 时 间：</t>
  </si>
  <si>
    <t>扉—1</t>
  </si>
  <si>
    <t>卓资县百种固废分解可降解建设项目铝塑设备清单表</t>
  </si>
  <si>
    <t>序号</t>
  </si>
  <si>
    <t>名称</t>
  </si>
  <si>
    <t>技术说明及设备配置</t>
  </si>
  <si>
    <t>数量</t>
  </si>
  <si>
    <t>单位</t>
  </si>
  <si>
    <t>皮带输送机
（功能：物料输送）</t>
  </si>
  <si>
    <t xml:space="preserve">
1、外形尺寸：16500×1200×8500mm（长×宽×高）
2、结构：电动机串连摆线针轮减速机驱动主动轴，主动轴带  
   动输送带。输送带线速度60米/分钟。
3、材质、输送机支架采用Q235型钢焊接结构，输送带采用5
   层帆线人字纹橡胶带。
4、动力配置：动力为电动机，串连4号摆线针轮减速机驱动。
5、能力：每米（长度）承重≥200kg；每小时输送能力≥40m³
6、安全防护：Q235钢板折弯防护板，外观喷涂环保油漆。</t>
  </si>
  <si>
    <t>台</t>
  </si>
  <si>
    <t>双向螺旋输送机
（功能：物料输送）</t>
  </si>
  <si>
    <t xml:space="preserve">
1、外形尺寸：8500×600×550mm（长×宽×高）
2、结构：U型结构，电动机串连摆线针轮减速机驱动螺旋轴旋
   转推动物料运动。
3、材质：外壳、主轴、叶片均采用304不锈钢板材质，
4、动力配置：动力为电动机，串连4号摆线针轮减速机驱动。
5、生产能力：≥5000kg/h
6、外观：不锈钢普通抛光</t>
  </si>
  <si>
    <t>螺旋式喂料机
（功能：物料输送）</t>
  </si>
  <si>
    <t xml:space="preserve">
1、外形尺寸：1500×600×600mm（长×宽×高）
2、结构：圆通型结构，电动机串连摆线针轮减速机驱动螺旋轴
   旋转推动物料运动。
3、材质：外壳、主轴、叶片均采用304不锈钢板材质。
4、动力配置：动力为电动机，串连6号摆线针轮减速机驱动。
5、生产能力：≥5000kg/h
6、外观：不锈钢普通抛光。</t>
  </si>
  <si>
    <t xml:space="preserve">     卧式分离釜
（功能：分离化学反应）</t>
  </si>
  <si>
    <t xml:space="preserve">
1、外形尺寸：8500×3600×4500mm（长×宽×高）
2、结构、；卧式反应釜；主电机连接硬齿面R系列减速机、减
   速机驱动小齿轮、小齿轮进一步驱动大齿轮。大齿轮和反应
   釜为一体结构，从而驱动反应釜转动，电动机有自动控制系
   统变频器控制，速度和反正转可调。反应釜容积26m³，每次
   反应科装载不低于5000kg。反应釜与加药液装置、加温装
   置连接，设备主体安装有温度、酸度传感器。
3、材质：反应釜主体均采用316L不锈钢板材质.大小齿轮为45
   号铸钢加工。底座有Q355钢板焊接。
4、动力配置：动力为电动机，串连硬齿面减速机驱动。
5、生产能力：≥1500kg/h
6、外观：不锈钢普通抛光。
</t>
  </si>
  <si>
    <t>斜向螺旋输送机
（功能：物料输送）</t>
  </si>
  <si>
    <t xml:space="preserve">
1、外形尺寸：5500×600×550mm（长×宽×高）
2、结构：U型结构，电动机串连摆线针轮减速机驱动螺旋轴旋
   转推动物料运动。
3、材质：外壳、主轴、叶片均采用304不锈钢板材质，
4、动力配置：动力为电动机，串连4号摆线针轮减速机驱动。
5、生产能力：≥5000kg/h
6、外观：不锈钢普通抛光</t>
  </si>
  <si>
    <t>铝塑分选机
（功能：铝箔和塑料膜分离）</t>
  </si>
  <si>
    <t xml:space="preserve">
1、外形尺寸：5500×1800×2000mm（长×宽×高）
2、结构：主体结构为设置与设备中心的巨大转子和转子上螺旋
   部具的羊角齿。转子周围是360°的不锈钢筛板，转子高速
   旋转铝箔被击打搓揉成团状通过筛板流出，塑料片随着转子
   旋转方向自设备末端出口流出，从而完成铝箔和塑料片的分
   选。
3、材质：支架箱为Q355碳钢；上壳、主轴、叶片均采用304不
   锈钢板材质。
4、动力配置：动力为电动机，通过系统自动控制。
5、生产能力：≥4000kg/h
6、外观：喷涂环保油漆、不锈钢普通抛光。
</t>
  </si>
  <si>
    <t>旋流分选机
（功能：铝箔净化处理）</t>
  </si>
  <si>
    <t>1、外形尺寸：2000×200×200mm（长×宽×高）
2、结构：上部为圆筒下部连接锥形圆体，进口位于最上部圆筒
   切线方向，出口位于顶部向上，最下部锥尖是出渣口。物料
   自进口高速沿切线方向进入，在圆筒体内形成旋流，向下进
   入椎体后旋流加速，旋流中心形成负压区，比重较轻的物体
   进入负压区向上从出口流出，重物质（渣）向下从排渣口排
   出。
3、材质：整体采用304不锈钢，椎体部内衬工业耐磨陶瓷
4、生产能力：≥35m³/h
5、外观：不锈钢普通抛光</t>
  </si>
  <si>
    <t>双级微滤机
（功能：筛选过滤）</t>
  </si>
  <si>
    <t xml:space="preserve">
1、外形尺寸：6500×1800×2000mm（长×宽×高）
2、结构：该机为粗细两种筛板组合的双级筛选设备，粗筛和细
   筛呈圆筒形结构套装在一起形成筛鼓，筛鼓通过支架、大小
   齿轮、减速机在电动机的驱动下转动。物料首先进入粗筛
  （内圆通），筛孔一般为3mm，经过粗筛过滤的物质自流进入
   西筛（外圆筒）筛板一般为60目。经过两次过滤后得到无固
   体杂质的清水，粗细渣被排掉。
3、材质：主体采用304不锈钢，支架为Q235材质。
4、生产能力：≥260m³/h。
5、动力配置：动力为电动机，串连4号摆线针轮减速机驱动
6、外观：喷涂环保油漆、不锈钢普通抛光。
</t>
  </si>
  <si>
    <t>药液储存罐
（功能：药液储存）</t>
  </si>
  <si>
    <t>1、容积：15m³
2、结构：卧式储存罐，带有人孔、进出口法兰、压力表安装座。
3、材质：316L不锈钢</t>
  </si>
  <si>
    <t>1、容积：15m³
2、结构：卧式储存罐，带有人孔、进出口法兰、压力表安装座。
3、材质：Q235材质</t>
  </si>
  <si>
    <t>药业泵
（功能：药液输送）</t>
  </si>
  <si>
    <t>1、结构：离心泵、扬程20米、流量5m³。
2、泵头为316L不锈钢
3、动力：2.2KW</t>
  </si>
  <si>
    <t>药液配制罐
（功能：药液储存）</t>
  </si>
  <si>
    <t>1、容积：5 m³
2、结构：立式储存罐、进出口法兰、温度表安装座。
3、材质：316L不锈钢</t>
  </si>
  <si>
    <t>1、容积：5 m³
2、结构：立式储存罐、进出口法兰、温度表安装座。
3、材质：Q235碳钢</t>
  </si>
  <si>
    <t>自动控制系统
（功能自动化控制铝塑分离工段工作）</t>
  </si>
  <si>
    <t>1、PLC一台。
2、触摸屏：15寸一台
3、变频器：75KW2台；30KW3台；7.5KW3台；5.5KW一台，
   共计9台。
4、低压电器一套（所有控制电机配套）。
5、软件编程、电柜插接。
6、电源柜一台、控制柜两台、操作柜一台。</t>
  </si>
  <si>
    <t>套</t>
  </si>
  <si>
    <t xml:space="preserve">
1、外形尺寸：16500×1200×8500mm（长×宽×高）
2、结构：电动机串连摆线针轮减速机驱动主动轴，主动轴带动输
   送带。输送带线速度60米/分钟。
3、材质、输送机支架采用Q235型钢焊接结构，输送带采用5层帆
   线人字纹橡胶带。
4、动力配置：动力为电动机，串连4号摆线针轮减速机驱动，
5、能力：每米（长度）承重≥200kg；每小时输送能力≥40m³
6、安全防护：Q235钢板折弯防护板，外观喷涂环保型油漆。</t>
  </si>
  <si>
    <t xml:space="preserve">
1、外形尺寸：8500×600×550mm（长×宽×高）
2、结构：U型结构，电动机串连摆线针轮减速机驱动螺旋轴旋转
   推动物料运动。
3、材质：外壳、主轴、叶片均采用Q235钢板
4、动力配置：动力为电动机，串连4号摆线针轮减速机驱动。
5、生产能力：≥5000kg/h
6、外观：喷涂环保油漆</t>
  </si>
  <si>
    <t xml:space="preserve">
1、外形尺寸：1500×600×600mm（长×宽×高）
2、结构：圆通型结构，电动机串连摆线针轮减速机驱动螺旋轴旋
   转推动物料运动。
3、材质：外壳、主轴、叶片均采用Q235B材质。
4、动力配置：动力电动机，串连6号摆线针轮减速机驱动。
5、生产能力：≥5000kg/h
6、外观：不锈钢普通抛光。</t>
  </si>
  <si>
    <t>卧式反应釜
（功能：分离化学反应）</t>
  </si>
  <si>
    <t xml:space="preserve">
1、外形尺寸：8500×3600×4500mm（长×宽×高）
2、结构、；卧式反应釜；主电机连接硬齿面R系列减速机、减速
   机驱动小齿轮、小齿轮进一步驱动大齿轮。大齿轮和反应釜为
   一体结构，从而驱动反应釜转动，电动机有自动控制系统变频
   器控制，速度和反正转可调。反应釜容积26m³，每次反应科装
   载不低于5000kg。反应釜与加药液装置、加温装置连接，设备
   主体安装有温度、酸度传感器。
3、材质：反应釜主体均采用Q235材质.大小齿轮为45号铸钢加工
   。底座有Q355钢板焊接。
4、动力配置：动力为电动机，串连硬齿面减速机驱动。
5、生产能力：≥1500kg/h
6、外观：喷涂环保油漆
</t>
  </si>
  <si>
    <t xml:space="preserve">
1、外形尺寸：5500×600×550mm（长×宽×高）
2、结构：U型结构，电动机串连摆线针轮减速机驱动螺旋轴旋转
   推动物料运动。
3、材质：外壳、主轴、叶片均采用Q235材质。
4、动力配置：动力为电动机，串4号摆线针轮减速机驱动。
5、生产能力：≥5000kg/h
6、外观：喷涂环保油漆。</t>
  </si>
  <si>
    <t xml:space="preserve">     塑料清洗机
（清洗塑料膜中的残留物）</t>
  </si>
  <si>
    <t xml:space="preserve">
1、外形尺寸：5500×1800×2000mm（长×宽×高）
2、结构：主体结构为设置与设备中心的巨大转子和转子上螺旋部
   具的羊角齿。转子周围是360°的不锈钢筛板，转子高速旋转
   铝箔被击打搓揉成团状通过筛板流出，塑料片随着转子旋转方
   向自设备末端出口流出，从而完成铝箔和塑料片的分选。
3、材质：支架箱为Q355碳钢；上壳、主轴、45号钢材质。
4、动力配置：动力为电动机，通过系统自动控制。
5、生产能力：≥4000kg/h
6、外观：喷涂环保油漆、不锈钢普通抛光。
</t>
  </si>
  <si>
    <t xml:space="preserve">
1、外形尺寸：4500×550×500mm（长×宽×高）
2、结构：U型结构，电动机串连摆线针轮减速机驱动螺旋轴旋转
   推动物料运动。
3、材质：外壳、主轴、叶片均采用Q235钢板
4、动力配置：动力为电动机，串连4号摆线针轮减速机驱动。
5、生产能力：≥5000kg/h
6、外观：喷涂环保油漆</t>
  </si>
  <si>
    <t>立式塑料甩干机
（脱除塑料膜中的大部分水分）</t>
  </si>
  <si>
    <t xml:space="preserve">
1、外形尺寸：1500×1500×3500mm（长×宽×高）
2、该机器为立柱式结构，主体为立式高速转子。转子圆周安装有
   螺旋排布的拨片，转子周围有360°环绕筛板，含水物料自下
   部进料口进入在螺旋转子带动下向上运动同时在离心力的作用
   下水被甩出筛板以外，脱水后的物料自上部出料口排出。
3、材质：支架为Q235碳钢，筛板为304不锈钢。
4、动力：电动机通过大小皮带轮驱动。
5、产能：3000kg/h
6、外观：喷涂环保油漆</t>
  </si>
  <si>
    <t>半自动打包机
（用于分离后的塑料膜打包）</t>
  </si>
  <si>
    <t xml:space="preserve">
1、外形尺寸：8500×1800×2800mm（长×宽×高）
2、结构：卧式半自动打包；主油缸D260×d200，公称推力
   2000kn,行程：2400mm；纸包密度：450-550kg/m³；包型规
   格1100×1250×L(可调)
3、材质5、支架为Q235碳钢，与物料接触部位衬304不锈钢。
4、动力：电动机，油泵、阀。
5、产能：5-8吨/小时
6、外观：喷涂环保油漆</t>
  </si>
  <si>
    <t>自动控制系统
（功能自动化控制塑料膜清洗工段工作）</t>
  </si>
  <si>
    <t xml:space="preserve">
1、PLC一台。
2、触摸屏：15寸一台
3、变频器：75KW2台；30KW2台；7.5KW3台；5.5KW一台，共计8 
   台。
4、低压电器一套（所有控制电机配套）。
5、软件编程、电柜插接。
6、电源柜一台、控制柜两台、操作柜一台。</t>
  </si>
  <si>
    <t>1、容积：10m³
2、结构：卧式储存罐，带有人孔、进出口法兰、压力表安装座。
3、材质：316L不锈钢</t>
  </si>
  <si>
    <t xml:space="preserve">
1、结构：离心泵、扬程20米、流量5m³。
2、泵头为316L不锈钢
3、动力：2.2KW</t>
  </si>
  <si>
    <t>药液稀释罐
（功能：药液储存）</t>
  </si>
  <si>
    <t xml:space="preserve">
1、容积：3 m³
2、结构：立式储存罐、搅拌器安装座、进出口法兰、温度表安装 
   座。
3、材质：304不锈钢</t>
  </si>
  <si>
    <t>搅拌器
（功能：将药液搅拌均匀）</t>
  </si>
  <si>
    <t xml:space="preserve">
1、结构：立式搅拌，电动机与摆线针轮减速机搅拌轴直连，转速
   60r/min
2、动力：电动机，6号摆线针轮减速机
3、搅拌轴、叶为304不锈钢。</t>
  </si>
  <si>
    <t>空压机
(功能：为气浮塔提供压缩气体)</t>
  </si>
  <si>
    <t xml:space="preserve">
1、外形尺寸：1500×400×1200mm（长×宽×高）
2、活塞式空压机
3、储气罐为Q355 材质
4、公称排量0.36m³/min；额定压力0.8MPa。
5、电机功率3KW
6、外观：喷涂环保油漆</t>
  </si>
  <si>
    <t>容器水制备器
（功能：制备溶气水）</t>
  </si>
  <si>
    <t xml:space="preserve">
1、外形尺寸：2500×800×3500mm（长×宽×高）
2、结构：主要元件为微孔气泡发生器，有高压空压机将气体打入
   容器内在通过微孔装置释放形成微小气泡。
3、材质：气泡发生器为316L不锈钢。外壳为Q235材质
4、7.5KW多级泵两台，提供高压水流，发生量为5m³/h
5、外观：喷涂环保油漆</t>
  </si>
  <si>
    <t>立式气浮塔
（功能：脱出污水中的污泥）</t>
  </si>
  <si>
    <t xml:space="preserve">
1、外形尺寸：2500×2500×5500mm（长×宽×高）
2、结构：立式气浮塔，主要有塔体外壳、内部不锈钢碟片、底部
   沉淀器、顶部刮泥机、污泥槽等组成。进入气浮塔的污水在药
   物作用下 有SS絮凝物产生，微气泡自底部进入上浮同事带动
   固体物一起浮起到顶部刮泥区，污泥被刮泥机刮走。污水中重
   物质沉淀与气浮塔底部被定时排出。
3、材质：外壳Q355内衬、碟片、刮泥机刮板为316L不锈钢。
4、动力：刮泥机动力1.1KW。
5、外观：喷涂环保油漆</t>
  </si>
  <si>
    <t>刮泥机
（功能：脱出污水中的污泥）</t>
  </si>
  <si>
    <t xml:space="preserve">
1、外形尺寸：4500×2500×600mm（长×宽×高）
2、结构：方框是结构，电动机减速机连接主动轴，主动轴、从动
   轴两端链轮链条带动刮泥版连续运动，污泥被刮到机器末端污
   泥槽中流入污泥储存池。
3、材质：304不锈钢支架、刮板、工程塑料链条。
4、动力：电动机，6号摆线针轮减速机。
5、外观：喷涂环保油漆</t>
  </si>
  <si>
    <t>双级微滤机
（功能：脱出污水中的污泥）</t>
  </si>
  <si>
    <t xml:space="preserve">
1、外形尺寸：6500×1800×2000mm（长×宽×高）
2、结构：该机为粗细两种筛板组合的双级筛选设备，粗筛和细筛
   呈圆筒形结构套装在一起形成筛鼓，筛鼓通过支架、大小齿轮
   、减速机在电动机的驱动下转动。物料首先进入粗筛（内圆
   通），筛孔一般为3mm，经过粗筛过滤的物质自流进入西筛
  （外圆筒）筛板一般为60目。经过两次过滤后得到无固体杂质
   的清水，粗细渣被排掉。
3、材质：主体采用316L不锈钢，支架为Q235材质。
4、生产能力：≥60m³/h。
5、动力配置：电动机，串连4号摆线针轮减速机驱动
6、外观：喷涂环保油漆、不锈钢普通抛光。
</t>
  </si>
  <si>
    <t>卧螺离心机
（功能：脱出污水中的污泥）</t>
  </si>
  <si>
    <t xml:space="preserve">
1、外形尺寸：3500×1200×1100mm（长×宽×高）
2、结构：卧式无网离心机，分离因数：3750；转子长径比：4.3
3、支架为Q355材质，转子位316L不锈钢。
4、主动力15KW；副动力5.5KW电动机。减速最高转速3800r/min。
5、通过量为15m³/h。
6、外观：喷涂环保油漆、不锈钢普通抛光。</t>
  </si>
  <si>
    <t>污泥脱水加药机
（功能：脱出污水中的污泥）</t>
  </si>
  <si>
    <t xml:space="preserve">
1、外形尺寸：1500×1500×2000mm（长×宽×高）
2、结构：污泥脱水加药机主要有一台药液储存罐和一台高压药业
   泵组成，他的功能是对气浮塔收获的污泥进一步絮凝浓缩。
3、材质：储药罐为316L不锈钢，高压泵泵头为316L不锈钢。
4、动力：电动机，上高高压不锈钢泵。</t>
  </si>
  <si>
    <t>全自动给药控制器
（功能：脱出污水中的污泥）</t>
  </si>
  <si>
    <t>1、水处理药液的独立控制系统，可单独调整污水处理给药计量和
   时间。
2、主要有一台台达小型PLC控制器、三个流量传感器、信号液晶显
   示器和一台控制柜组成。</t>
  </si>
  <si>
    <t>自动控制系统
  （功能自动化控制污水处理工段工作）</t>
  </si>
  <si>
    <t xml:space="preserve">
1、PLC一台。
2、触摸屏：15寸一台
3、变频器：7.5KW2台；15KW1台；5.5KW2台，共计5台。
4、药液系统接驳组件一套。
5、低压电器一套（所有控制电机配套）。
6、软件编程、电柜插接。
电源柜一台、控制柜两台、操作柜一台。</t>
  </si>
  <si>
    <t>表3-2</t>
  </si>
  <si>
    <t>工程施工费单价汇总表</t>
  </si>
  <si>
    <t>定额编号</t>
  </si>
  <si>
    <t>单项名称</t>
  </si>
  <si>
    <t>直接费</t>
  </si>
  <si>
    <t>间接费</t>
  </si>
  <si>
    <t>利润</t>
  </si>
  <si>
    <t>材料差价</t>
  </si>
  <si>
    <t>未计价材料费</t>
  </si>
  <si>
    <t>税金</t>
  </si>
  <si>
    <t>综合单价</t>
  </si>
  <si>
    <t>措施费费率(%)</t>
  </si>
  <si>
    <t>间接费费率(%)</t>
  </si>
  <si>
    <t>利润费率(%)</t>
  </si>
  <si>
    <t>人工费</t>
  </si>
  <si>
    <t>材料费</t>
  </si>
  <si>
    <t>施工机械使用费</t>
  </si>
  <si>
    <t>直接工程费</t>
  </si>
  <si>
    <t>措施费</t>
  </si>
  <si>
    <t>合计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</si>
  <si>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</si>
  <si>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</si>
  <si>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</si>
  <si>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</si>
  <si>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</si>
  <si>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</si>
  <si>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</si>
  <si>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</si>
  <si>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</si>
  <si>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</si>
  <si>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</si>
  <si>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</si>
  <si>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</si>
  <si>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</si>
  <si>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</si>
  <si>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一</t>
  </si>
  <si>
    <t>土地平整工程</t>
  </si>
  <si>
    <t>表土剥离</t>
  </si>
  <si>
    <r>
      <rPr>
        <sz val="11"/>
        <rFont val="宋体"/>
        <charset val="134"/>
      </rPr>
      <t>100m</t>
    </r>
    <r>
      <rPr>
        <vertAlign val="superscript"/>
        <sz val="11"/>
        <rFont val="宋体"/>
        <charset val="134"/>
      </rPr>
      <t>3</t>
    </r>
  </si>
  <si>
    <t>表土覆盖</t>
  </si>
  <si>
    <t>砌体拆除</t>
  </si>
  <si>
    <t>地表碎石清理</t>
  </si>
  <si>
    <t>土地平整</t>
  </si>
  <si>
    <t>10043</t>
  </si>
  <si>
    <t>土地翻耕</t>
  </si>
  <si>
    <r>
      <rPr>
        <sz val="11"/>
        <rFont val="Times New Roman"/>
        <charset val="134"/>
      </rPr>
      <t>hm</t>
    </r>
    <r>
      <rPr>
        <vertAlign val="superscript"/>
        <sz val="11"/>
        <rFont val="Times New Roman"/>
        <charset val="134"/>
      </rPr>
      <t>2</t>
    </r>
  </si>
  <si>
    <t>二</t>
  </si>
  <si>
    <t>田间道路工程</t>
  </si>
  <si>
    <t>(一)</t>
  </si>
  <si>
    <t>新建田间道路</t>
  </si>
  <si>
    <t>80015+80016×2</t>
  </si>
  <si>
    <t>30cm素土路基</t>
  </si>
  <si>
    <r>
      <rPr>
        <sz val="11"/>
        <rFont val="宋体"/>
        <charset val="134"/>
      </rPr>
      <t>1000m</t>
    </r>
    <r>
      <rPr>
        <vertAlign val="superscript"/>
        <sz val="11"/>
        <rFont val="宋体"/>
        <charset val="134"/>
      </rPr>
      <t>2</t>
    </r>
  </si>
  <si>
    <t>80019+80020×10</t>
  </si>
  <si>
    <t>20cm砂砾石路面</t>
  </si>
  <si>
    <t>(二)</t>
  </si>
  <si>
    <t>新建生产路</t>
  </si>
  <si>
    <t>80015+80016（机械摊铺）</t>
  </si>
  <si>
    <t>30cm素土路面</t>
  </si>
  <si>
    <t>三</t>
  </si>
  <si>
    <t>其他工程</t>
  </si>
  <si>
    <t>种植乔木</t>
  </si>
  <si>
    <r>
      <rPr>
        <sz val="11"/>
        <rFont val="Times New Roman"/>
        <charset val="134"/>
      </rPr>
      <t>100</t>
    </r>
    <r>
      <rPr>
        <sz val="11"/>
        <rFont val="宋体"/>
        <charset val="134"/>
      </rPr>
      <t>株</t>
    </r>
  </si>
  <si>
    <t>种植灌木</t>
  </si>
  <si>
    <t>(三)</t>
  </si>
  <si>
    <t>沙柳沙障</t>
  </si>
  <si>
    <t>人工牧草地</t>
  </si>
  <si>
    <t>90030a</t>
  </si>
  <si>
    <t>撒播</t>
  </si>
  <si>
    <t>四</t>
  </si>
  <si>
    <t>耕地土壤改良</t>
  </si>
  <si>
    <t>补1</t>
  </si>
  <si>
    <t>土壤改良</t>
  </si>
  <si>
    <t>填表说明：表中（5）～(16)见附表6</t>
  </si>
  <si>
    <t>表7</t>
  </si>
  <si>
    <t>季度分月用款计划表</t>
  </si>
  <si>
    <t>工程名称</t>
  </si>
  <si>
    <t>项目地点</t>
  </si>
  <si>
    <t>具体用款科目</t>
  </si>
  <si>
    <t>项目各季度用款数</t>
  </si>
  <si>
    <t>2012年</t>
  </si>
  <si>
    <t>2013年</t>
  </si>
  <si>
    <r>
      <rPr>
        <b/>
        <sz val="10"/>
        <rFont val="宋体"/>
        <charset val="134"/>
      </rPr>
      <t>2</t>
    </r>
    <r>
      <rPr>
        <b/>
        <sz val="10"/>
        <rFont val="宋体"/>
        <charset val="134"/>
      </rPr>
      <t>014年</t>
    </r>
  </si>
  <si>
    <t>第一季度</t>
  </si>
  <si>
    <t>8～9月</t>
  </si>
  <si>
    <t>10～11月</t>
  </si>
  <si>
    <t>12月</t>
  </si>
  <si>
    <t>第二季度</t>
  </si>
  <si>
    <t>第三季度</t>
  </si>
  <si>
    <t>第四季度</t>
  </si>
  <si>
    <t>1～3月</t>
  </si>
  <si>
    <t>4～6月</t>
  </si>
  <si>
    <t>7～9月</t>
  </si>
  <si>
    <t>10～12月</t>
  </si>
  <si>
    <t>农田水利工程</t>
  </si>
  <si>
    <t>设备购置</t>
  </si>
  <si>
    <t>前期工作费</t>
  </si>
  <si>
    <t>工程监理费</t>
  </si>
  <si>
    <t>竣工验收费</t>
  </si>
  <si>
    <t>业主管理费</t>
  </si>
  <si>
    <t>不可预见费</t>
  </si>
  <si>
    <t>总计</t>
  </si>
  <si>
    <t>—</t>
  </si>
  <si>
    <t xml:space="preserve">  —</t>
  </si>
  <si>
    <r>
      <rPr>
        <sz val="12"/>
        <rFont val="宋体"/>
        <charset val="134"/>
      </rPr>
      <t>编制日期：20</t>
    </r>
    <r>
      <rPr>
        <sz val="12"/>
        <rFont val="宋体"/>
        <charset val="134"/>
      </rPr>
      <t>13</t>
    </r>
    <r>
      <rPr>
        <sz val="12"/>
        <rFont val="宋体"/>
        <charset val="134"/>
      </rPr>
      <t>年</t>
    </r>
    <r>
      <rPr>
        <sz val="12"/>
        <rFont val="宋体"/>
        <charset val="134"/>
      </rPr>
      <t>11</t>
    </r>
    <r>
      <rPr>
        <sz val="12"/>
        <rFont val="宋体"/>
        <charset val="134"/>
      </rPr>
      <t>月</t>
    </r>
  </si>
  <si>
    <r>
      <rPr>
        <b/>
        <sz val="14"/>
        <rFont val="宋体"/>
        <charset val="134"/>
      </rPr>
      <t>表</t>
    </r>
    <r>
      <rPr>
        <b/>
        <sz val="14"/>
        <rFont val="Times New Roman"/>
        <charset val="134"/>
      </rPr>
      <t>4</t>
    </r>
  </si>
  <si>
    <t xml:space="preserve">设备购置费预算表 </t>
  </si>
  <si>
    <t>金额单位：元</t>
  </si>
  <si>
    <t>分类</t>
  </si>
  <si>
    <t>设备名称及规格</t>
  </si>
  <si>
    <t>小计</t>
  </si>
  <si>
    <t>说明</t>
  </si>
  <si>
    <r>
      <rPr>
        <sz val="12"/>
        <rFont val="宋体"/>
        <charset val="134"/>
      </rPr>
      <t>节制闸钢闸门H0.8m×B</t>
    </r>
    <r>
      <rPr>
        <vertAlign val="subscript"/>
        <sz val="12"/>
        <rFont val="宋体"/>
        <charset val="134"/>
      </rPr>
      <t>0</t>
    </r>
    <r>
      <rPr>
        <sz val="12"/>
        <rFont val="宋体"/>
        <charset val="134"/>
      </rPr>
      <t>0.6m</t>
    </r>
  </si>
  <si>
    <t>填表说明：1、本表应根据具体的设备购置进行计算，包括设备规格(2)、单位(3)、数量(4)、单价(5)以及说明(7)。
          2、表中(6)=(4)×(5)</t>
  </si>
  <si>
    <r>
      <rPr>
        <b/>
        <sz val="14"/>
        <rFont val="宋体"/>
        <charset val="134"/>
      </rPr>
      <t>表</t>
    </r>
    <r>
      <rPr>
        <b/>
        <sz val="14"/>
        <rFont val="Times New Roman"/>
        <charset val="134"/>
      </rPr>
      <t>1</t>
    </r>
  </si>
  <si>
    <t>总预算及分年度预算表</t>
  </si>
  <si>
    <t>编制单位：内蒙古正誉不动产评估咨询有限责任公司</t>
  </si>
  <si>
    <r>
      <rPr>
        <sz val="12"/>
        <rFont val="Times New Roman"/>
        <charset val="134"/>
      </rPr>
      <t xml:space="preserve">                                    </t>
    </r>
    <r>
      <rPr>
        <sz val="12"/>
        <rFont val="宋体"/>
        <charset val="134"/>
      </rPr>
      <t>金额单位：万元</t>
    </r>
  </si>
  <si>
    <t>类</t>
  </si>
  <si>
    <r>
      <rPr>
        <sz val="12"/>
        <rFont val="宋体"/>
        <charset val="134"/>
      </rPr>
      <t>项目类型及建设规模(hm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</si>
  <si>
    <t>项目资金预算</t>
  </si>
  <si>
    <r>
      <rPr>
        <sz val="12"/>
        <rFont val="宋体"/>
        <charset val="134"/>
      </rPr>
      <t>预计净增农用地面积（hm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）</t>
    </r>
  </si>
  <si>
    <t>总预算</t>
  </si>
  <si>
    <t>年度预算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</si>
  <si>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</t>
    </r>
  </si>
  <si>
    <r>
      <rPr>
        <sz val="12"/>
        <rFont val="宋体"/>
        <charset val="134"/>
      </rPr>
      <t>别</t>
    </r>
    <r>
      <rPr>
        <sz val="12"/>
        <rFont val="Times New Roman"/>
        <charset val="134"/>
      </rPr>
      <t xml:space="preserve">  </t>
    </r>
  </si>
  <si>
    <t>新增费</t>
  </si>
  <si>
    <t>其他投资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</si>
  <si>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013年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</si>
  <si>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014年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</si>
  <si>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目</t>
    </r>
  </si>
  <si>
    <t>FK-YHWSZ-11地块</t>
  </si>
  <si>
    <t>FK-YHWSZ-12地块</t>
  </si>
  <si>
    <r>
      <rPr>
        <sz val="12"/>
        <rFont val="宋体"/>
        <charset val="134"/>
      </rPr>
      <t>FK-YHWSZ-1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、FK-YHWSZ-1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、FK-YHWSZ-1</t>
    </r>
    <r>
      <rPr>
        <sz val="12"/>
        <rFont val="宋体"/>
        <charset val="134"/>
      </rPr>
      <t>5</t>
    </r>
    <r>
      <rPr>
        <sz val="12"/>
        <rFont val="宋体"/>
        <charset val="134"/>
      </rPr>
      <t>地块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</si>
  <si>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</si>
  <si>
    <t>开发</t>
  </si>
  <si>
    <t>整理</t>
  </si>
  <si>
    <t>复垦</t>
  </si>
  <si>
    <t>称</t>
  </si>
  <si>
    <t>杭锦旗</t>
  </si>
  <si>
    <r>
      <rPr>
        <sz val="12"/>
        <rFont val="宋体"/>
        <charset val="134"/>
      </rPr>
      <t>填表说明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项目类型分为土地开发、土地整理和土地复垦三种。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</si>
</sst>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000_ "/>
    <numFmt numFmtId="179" formatCode="0_);[Red]\(0\)"/>
    <numFmt numFmtId="180" formatCode="0.000_);[Red]\(0.000\)"/>
  </numFmts>
  <fonts count="52"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  <font>
      <vertAlign val="superscript"/>
      <sz val="11"/>
      <name val="Times New Roman"/>
      <charset val="134"/>
    </font>
    <font>
      <vertAlign val="subscript"/>
      <sz val="12"/>
      <name val="宋体"/>
      <charset val="134"/>
    </font>
    <font>
      <vertAlign val="superscript"/>
      <sz val="11"/>
      <name val="宋体"/>
      <charset val="134"/>
    </font>
    <font>
      <vertAlign val="superscript"/>
      <sz val="12"/>
      <name val="宋体"/>
      <charset val="134"/>
    </font>
    <font>
      <b/>
      <vertAlign val="superscript"/>
      <sz val="11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Font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4" borderId="2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5" applyNumberFormat="0" applyAlignment="0" applyProtection="0">
      <alignment vertical="center"/>
    </xf>
    <xf numFmtId="0" fontId="36" fillId="6" borderId="26" applyNumberFormat="0" applyAlignment="0" applyProtection="0">
      <alignment vertical="center"/>
    </xf>
    <xf numFmtId="0" fontId="37" fillId="6" borderId="25" applyNumberFormat="0" applyAlignment="0" applyProtection="0">
      <alignment vertical="center"/>
    </xf>
    <xf numFmtId="0" fontId="38" fillId="7" borderId="27" applyNumberFormat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9" fillId="0" borderId="0"/>
  </cellStyleXfs>
  <cellXfs count="16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176" fontId="0" fillId="0" borderId="11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 shrinkToFit="1"/>
    </xf>
    <xf numFmtId="176" fontId="0" fillId="0" borderId="14" xfId="0" applyNumberFormat="1" applyFont="1" applyFill="1" applyBorder="1" applyAlignment="1">
      <alignment horizontal="center" vertical="center" wrapText="1" shrinkToFit="1"/>
    </xf>
    <xf numFmtId="176" fontId="0" fillId="0" borderId="1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" xfId="0" applyFont="1" applyFill="1" applyBorder="1" applyAlignment="1">
      <alignment horizontal="right" vertical="center"/>
    </xf>
    <xf numFmtId="176" fontId="0" fillId="0" borderId="15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vertical="center" wrapText="1"/>
    </xf>
    <xf numFmtId="176" fontId="0" fillId="0" borderId="0" xfId="0" applyNumberFormat="1" applyFont="1" applyFill="1"/>
    <xf numFmtId="0" fontId="0" fillId="0" borderId="1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vertical="center" wrapText="1"/>
    </xf>
    <xf numFmtId="9" fontId="1" fillId="0" borderId="0" xfId="3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177" fontId="0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176" fontId="0" fillId="0" borderId="0" xfId="0" applyNumberFormat="1" applyAlignment="1">
      <alignment wrapText="1"/>
    </xf>
    <xf numFmtId="178" fontId="8" fillId="0" borderId="0" xfId="51" applyNumberFormat="1">
      <alignment vertical="center"/>
    </xf>
    <xf numFmtId="0" fontId="8" fillId="0" borderId="0" xfId="51">
      <alignment vertical="center"/>
    </xf>
    <xf numFmtId="0" fontId="6" fillId="0" borderId="10" xfId="0" applyFont="1" applyBorder="1" applyAlignment="1">
      <alignment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176" fontId="0" fillId="0" borderId="10" xfId="0" applyNumberFormat="1" applyBorder="1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NumberFormat="1" applyFont="1" applyFill="1" applyAlignment="1">
      <alignment wrapText="1"/>
    </xf>
    <xf numFmtId="177" fontId="10" fillId="0" borderId="0" xfId="0" applyNumberFormat="1" applyFont="1" applyFill="1" applyAlignment="1">
      <alignment wrapText="1"/>
    </xf>
    <xf numFmtId="0" fontId="10" fillId="0" borderId="0" xfId="0" applyFont="1" applyFill="1" applyAlignment="1">
      <alignment wrapText="1"/>
    </xf>
    <xf numFmtId="0" fontId="9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0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wrapText="1"/>
    </xf>
    <xf numFmtId="177" fontId="10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177" fontId="10" fillId="0" borderId="0" xfId="0" applyNumberFormat="1" applyFont="1" applyFill="1" applyAlignment="1">
      <alignment horizont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wrapText="1"/>
    </xf>
    <xf numFmtId="0" fontId="10" fillId="0" borderId="10" xfId="0" applyFont="1" applyFill="1" applyBorder="1" applyAlignment="1">
      <alignment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10" fontId="10" fillId="0" borderId="10" xfId="0" applyNumberFormat="1" applyFont="1" applyFill="1" applyBorder="1" applyAlignment="1">
      <alignment wrapText="1"/>
    </xf>
    <xf numFmtId="177" fontId="10" fillId="0" borderId="10" xfId="0" applyNumberFormat="1" applyFont="1" applyFill="1" applyBorder="1" applyAlignment="1">
      <alignment wrapText="1"/>
    </xf>
    <xf numFmtId="177" fontId="9" fillId="0" borderId="10" xfId="0" applyNumberFormat="1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10" fontId="10" fillId="0" borderId="0" xfId="0" applyNumberFormat="1" applyFont="1" applyFill="1" applyAlignment="1">
      <alignment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16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9" fillId="0" borderId="0" xfId="53"/>
    <xf numFmtId="0" fontId="20" fillId="2" borderId="0" xfId="53" applyFont="1" applyFill="1" applyAlignment="1">
      <alignment horizontal="left" vertical="center" wrapText="1"/>
    </xf>
    <xf numFmtId="0" fontId="21" fillId="2" borderId="20" xfId="53" applyFont="1" applyFill="1" applyBorder="1" applyAlignment="1">
      <alignment horizontal="center" wrapText="1"/>
    </xf>
    <xf numFmtId="0" fontId="3" fillId="2" borderId="0" xfId="53" applyFont="1" applyFill="1" applyAlignment="1">
      <alignment horizontal="left" wrapText="1"/>
    </xf>
    <xf numFmtId="0" fontId="22" fillId="2" borderId="21" xfId="53" applyFont="1" applyFill="1" applyBorder="1" applyAlignment="1">
      <alignment horizontal="center" wrapText="1"/>
    </xf>
    <xf numFmtId="0" fontId="20" fillId="2" borderId="0" xfId="53" applyFont="1" applyFill="1" applyAlignment="1">
      <alignment horizontal="right" vertical="center" wrapText="1"/>
    </xf>
    <xf numFmtId="0" fontId="0" fillId="2" borderId="0" xfId="53" applyFont="1" applyFill="1" applyAlignment="1">
      <alignment horizontal="left" wrapText="1"/>
    </xf>
    <xf numFmtId="0" fontId="0" fillId="2" borderId="20" xfId="53" applyFont="1" applyFill="1" applyBorder="1" applyAlignment="1">
      <alignment horizontal="left" wrapText="1"/>
    </xf>
    <xf numFmtId="0" fontId="7" fillId="2" borderId="21" xfId="53" applyFont="1" applyFill="1" applyBorder="1" applyAlignment="1">
      <alignment horizontal="center" vertical="center" wrapText="1"/>
    </xf>
    <xf numFmtId="0" fontId="20" fillId="2" borderId="0" xfId="53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3" fillId="3" borderId="10" xfId="0" applyNumberFormat="1" applyFont="1" applyFill="1" applyBorder="1" applyAlignment="1" applyProtection="1">
      <alignment horizontal="center" vertical="center" wrapText="1"/>
    </xf>
    <xf numFmtId="49" fontId="24" fillId="3" borderId="10" xfId="0" applyNumberFormat="1" applyFont="1" applyFill="1" applyBorder="1" applyAlignment="1" applyProtection="1">
      <alignment horizontal="center" vertical="center" wrapText="1"/>
    </xf>
    <xf numFmtId="176" fontId="24" fillId="3" borderId="10" xfId="0" applyNumberFormat="1" applyFont="1" applyFill="1" applyBorder="1" applyAlignment="1" applyProtection="1">
      <alignment horizontal="center" vertical="center" wrapText="1"/>
    </xf>
    <xf numFmtId="49" fontId="25" fillId="3" borderId="10" xfId="0" applyNumberFormat="1" applyFont="1" applyFill="1" applyBorder="1" applyAlignment="1" applyProtection="1">
      <alignment horizontal="center" vertical="center" wrapText="1"/>
    </xf>
    <xf numFmtId="49" fontId="26" fillId="3" borderId="10" xfId="0" applyNumberFormat="1" applyFont="1" applyFill="1" applyBorder="1" applyAlignment="1" applyProtection="1">
      <alignment horizontal="center" vertical="center" wrapText="1"/>
    </xf>
    <xf numFmtId="176" fontId="25" fillId="3" borderId="10" xfId="0" applyNumberFormat="1" applyFont="1" applyFill="1" applyBorder="1" applyAlignment="1" applyProtection="1">
      <alignment horizontal="center" vertical="center" wrapText="1"/>
    </xf>
    <xf numFmtId="179" fontId="25" fillId="3" borderId="10" xfId="0" applyNumberFormat="1" applyFont="1" applyFill="1" applyBorder="1" applyAlignment="1" applyProtection="1">
      <alignment horizontal="center" vertical="center" wrapText="1"/>
    </xf>
    <xf numFmtId="180" fontId="25" fillId="3" borderId="10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7" xfId="50"/>
    <cellStyle name="常规_季度分月用款计划表 " xfId="51"/>
    <cellStyle name="常规_五原预算修改稿" xfId="52"/>
    <cellStyle name="Normal" xfId="5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9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5080</xdr:colOff>
      <xdr:row>0</xdr:row>
      <xdr:rowOff>410210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33675" y="0"/>
          <a:ext cx="508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5080</xdr:colOff>
      <xdr:row>209</xdr:row>
      <xdr:rowOff>219710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33675" y="50482500"/>
          <a:ext cx="5080" cy="410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419100</xdr:colOff>
      <xdr:row>18</xdr:row>
      <xdr:rowOff>0</xdr:rowOff>
    </xdr:from>
    <xdr:to>
      <xdr:col>2</xdr:col>
      <xdr:colOff>0</xdr:colOff>
      <xdr:row>18</xdr:row>
      <xdr:rowOff>0</xdr:rowOff>
    </xdr:to>
    <xdr:sp>
      <xdr:nvSpPr>
        <xdr:cNvPr id="12397" name="Line 2"/>
        <xdr:cNvSpPr>
          <a:spLocks noChangeShapeType="1"/>
        </xdr:cNvSpPr>
      </xdr:nvSpPr>
      <xdr:spPr>
        <a:xfrm flipH="1" flipV="1">
          <a:off x="1021080" y="510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9</xdr:row>
      <xdr:rowOff>19050</xdr:rowOff>
    </xdr:to>
    <xdr:sp>
      <xdr:nvSpPr>
        <xdr:cNvPr id="7254" name="Line 1"/>
        <xdr:cNvSpPr>
          <a:spLocks noChangeShapeType="1"/>
        </xdr:cNvSpPr>
      </xdr:nvSpPr>
      <xdr:spPr>
        <a:xfrm>
          <a:off x="0" y="958215"/>
          <a:ext cx="792480" cy="167830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55;&#21147;&#24605;&#20844;&#21496;&#39033;&#30446;\&#24052;&#26519;&#21491;&#26071;&#23621;&#27665;&#28857;&#24223;&#24323;&#22320;&#21644;&#24037;&#30719;&#24223;&#24323;&#22320;&#22797;&#22438;&#39033;&#30446;\&#24052;&#26519;&#21491;&#24223;&#24323;&#22320;&#39044;&#31639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185;&#24038;&#21518;&#26071;&#37325;&#22823;&#24037;&#31243;&#20108;&#26399;\&#20998;&#26631;&#27573;\&#39044;&#31639;0214\2011&#24180;&#31185;&#24038;&#21518;&#26071;&#39044;&#31639;&#21513;&#23572;&#22030;&#26391;1-1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\&#19968;&#30719;&#19968;&#31574;\&#39135;&#32852;&#20013;&#38388;\&#20013;&#38388;\3&#29420;&#36149;&#22612;&#25289;&#38215;&#24223;&#24323;&#22320;&#39044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\&#19968;&#30719;&#19968;&#31574;\&#39135;&#32852;&#20013;&#38388;\&#20013;&#38388;\2&#20234;&#21644;&#20044;&#32032;&#24223;&#24323;&#22320;&#39044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\&#19968;&#30719;&#19968;&#31574;\&#39135;&#32852;&#20013;&#38388;\&#20013;&#38388;\2012&#26477;&#38182;&#26071;&#24223;&#24323;&#22320;&#39044;&#3163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\&#19968;&#30719;&#19968;&#31574;\&#39135;&#32852;&#20013;&#38388;\&#20013;&#38388;\2013-1&#26477;&#38182;&#26071;&#24223;&#24323;&#22320;&#39044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\&#19968;&#30719;&#19968;&#31574;\&#39135;&#32852;&#20013;&#38388;\&#20013;&#38388;\2013-2&#26477;&#38182;&#26071;&#24223;&#24323;&#22320;&#39044;&#3163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\&#19968;&#30719;&#19968;&#31574;\&#39135;&#32852;&#20013;&#38388;\&#20013;&#38388;\2013-3&#26477;&#38182;&#26071;&#24223;&#24323;&#22320;&#39044;&#3163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\&#19968;&#30719;&#19968;&#31574;\&#39135;&#32852;&#20013;&#38388;\&#20013;&#38388;\2014&#26477;&#38182;&#26071;&#24223;&#24323;&#22320;&#39044;&#3163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185;&#24038;&#21518;&#26071;&#37325;&#22823;&#24037;&#31243;&#20108;&#26399;\&#20998;&#26631;&#27573;\&#39044;&#31639;0214\2011&#24180;&#31185;&#24038;&#21518;&#26071;&#39044;&#31639;&#21513;&#23572;&#22030;&#26391;2-10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统计表"/>
      <sheetName val="工程施工费单价分析表"/>
      <sheetName val="混凝土砂浆单价计算表"/>
      <sheetName val="机械台班单价计算表"/>
      <sheetName val="次要材料价格计算表"/>
      <sheetName val="主要材料价格表"/>
      <sheetName val="人工工资预算单价"/>
      <sheetName val="季度分月用款计划表 "/>
      <sheetName val="不可预见费预算表"/>
      <sheetName val="其他费用预算表"/>
      <sheetName val="设备费预算表 "/>
      <sheetName val="工程施工费单价汇总表"/>
      <sheetName val="工程施工费预算表"/>
      <sheetName val="工程施工费预算表总"/>
      <sheetName val="预算总表"/>
      <sheetName val="土地开发整理项目总预算及分年度预算表 "/>
    </sheetNames>
    <sheetDataSet>
      <sheetData sheetId="0" refreshError="1"/>
      <sheetData sheetId="1"/>
      <sheetData sheetId="2"/>
      <sheetData sheetId="3"/>
      <sheetData sheetId="4" refreshError="1">
        <row r="13">
          <cell r="L13">
            <v>4</v>
          </cell>
        </row>
      </sheetData>
      <sheetData sheetId="5" refreshError="1">
        <row r="6">
          <cell r="L6">
            <v>50</v>
          </cell>
        </row>
        <row r="9">
          <cell r="L9">
            <v>60</v>
          </cell>
        </row>
        <row r="11">
          <cell r="L11">
            <v>0.34</v>
          </cell>
          <cell r="M11">
            <v>0.3</v>
          </cell>
        </row>
        <row r="12">
          <cell r="M12">
            <v>0.3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区间费率计算表"/>
      <sheetName val="电单位估价表"/>
      <sheetName val="土、水、路、林单位估价表"/>
      <sheetName val="机械台班预算单价计算表"/>
      <sheetName val="混凝土单价"/>
      <sheetName val="单价表"/>
      <sheetName val="人工工资预算单价"/>
      <sheetName val="季度分月用款计划表 "/>
      <sheetName val="不可预见费预算表"/>
      <sheetName val="业主管理费预算表"/>
      <sheetName val="竣工验收费预算表"/>
      <sheetName val="工程监理费预算表"/>
      <sheetName val="前期工作费预算表"/>
      <sheetName val="其他费用"/>
      <sheetName val="电力设备费预算表"/>
      <sheetName val="农水设备费预算表"/>
      <sheetName val="设备费预算表 总"/>
      <sheetName val="电力工程间接费预算表 "/>
      <sheetName val="农水间接费预算表"/>
      <sheetName val="电直接工程费预算表 "/>
      <sheetName val="农水直接工程费预算表"/>
      <sheetName val="电直接费预算表"/>
      <sheetName val="农水直接费预算表"/>
      <sheetName val="电力工程施工费预算表 "/>
      <sheetName val="农水工程施工费预算表"/>
      <sheetName val="工程施工费预算表总"/>
      <sheetName val="预算总表"/>
      <sheetName val="土地开发整理项目总预算及分年度预算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H10">
            <v>2856.39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统计表"/>
      <sheetName val="混凝土砂浆单价计算表"/>
      <sheetName val="工程施工费单价分析表"/>
      <sheetName val="机械台班单价计算表"/>
      <sheetName val="次要材料价格计算表"/>
      <sheetName val="主要材料价格表"/>
      <sheetName val="人工工资预算单价"/>
      <sheetName val="季度分月用款计划表 "/>
      <sheetName val="不可预见费预算表"/>
      <sheetName val="其他费用预算表"/>
      <sheetName val="设备费预算表"/>
      <sheetName val="工程施工费单价汇总表"/>
      <sheetName val="工程施工费预算表"/>
      <sheetName val="工程施工费预算表总"/>
      <sheetName val="预算总表"/>
      <sheetName val="土地开发整理项目总预算及分年度预算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C7">
            <v>544.5516944812</v>
          </cell>
        </row>
        <row r="10">
          <cell r="C10">
            <v>32.859516152</v>
          </cell>
        </row>
        <row r="11">
          <cell r="C11">
            <v>18.665614257272</v>
          </cell>
        </row>
      </sheetData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统计表"/>
      <sheetName val="混凝土砂浆单价计算表"/>
      <sheetName val="工程施工费单价分析表"/>
      <sheetName val="机械台班单价计算表"/>
      <sheetName val="次要材料价格计算表"/>
      <sheetName val="主要材料价格表"/>
      <sheetName val="人工工资预算单价"/>
      <sheetName val="季度分月用款计划表 "/>
      <sheetName val="不可预见费预算表"/>
      <sheetName val="其他费用预算表"/>
      <sheetName val="设备费预算表"/>
      <sheetName val="工程施工费单价汇总表"/>
      <sheetName val="工程施工费预算表"/>
      <sheetName val="工程施工费预算表总"/>
      <sheetName val="预算总表"/>
      <sheetName val="土地开发整理项目总预算及分年度预算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C7">
            <v>4535.60848436</v>
          </cell>
        </row>
        <row r="10">
          <cell r="C10">
            <v>193.227231344</v>
          </cell>
        </row>
        <row r="11">
          <cell r="C11">
            <v>227.5861714</v>
          </cell>
        </row>
      </sheetData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统计表"/>
      <sheetName val="混凝土砂浆单价计算表"/>
      <sheetName val="工程施工费单价分析表"/>
      <sheetName val="机械台班单价计算表"/>
      <sheetName val="次要材料价格计算表"/>
      <sheetName val="主要材料价格表"/>
      <sheetName val="人工工资预算单价"/>
      <sheetName val="季度分月用款计划表 "/>
      <sheetName val="不可预见费预算表"/>
      <sheetName val="其他费用预算表"/>
      <sheetName val="设备费预算表"/>
      <sheetName val="工程施工费单价汇总表"/>
      <sheetName val="工程施工费预算表"/>
      <sheetName val="工程施工费预算表总"/>
      <sheetName val="预算总表"/>
      <sheetName val="土地开发整理项目总预算及分年度预算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统计表"/>
      <sheetName val="混凝土砂浆单价计算表"/>
      <sheetName val="工程施工费单价分析表"/>
      <sheetName val="机械台班单价计算表"/>
      <sheetName val="次要材料价格计算表"/>
      <sheetName val="主要材料价格表"/>
      <sheetName val="人工工资预算单价"/>
      <sheetName val="季度分月用款计划表 "/>
      <sheetName val="不可预见费预算表"/>
      <sheetName val="其他费用预算表"/>
      <sheetName val="设备费预算表"/>
      <sheetName val="工程施工费单价汇总表"/>
      <sheetName val="工程施工费预算表"/>
      <sheetName val="工程施工费预算表总"/>
      <sheetName val="预算总表"/>
      <sheetName val="土地开发整理项目总预算及分年度预算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1561.98097004565</v>
          </cell>
        </row>
      </sheetData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统计表"/>
      <sheetName val="混凝土砂浆单价计算表"/>
      <sheetName val="工程施工费单价分析表"/>
      <sheetName val="机械台班单价计算表"/>
      <sheetName val="次要材料价格计算表"/>
      <sheetName val="主要材料价格表"/>
      <sheetName val="人工工资预算单价"/>
      <sheetName val="季度分月用款计划表 "/>
      <sheetName val="不可预见费预算表"/>
      <sheetName val="其他费用预算表"/>
      <sheetName val="设备费预算表"/>
      <sheetName val="工程施工费单价汇总表"/>
      <sheetName val="工程施工费预算表"/>
      <sheetName val="工程施工费预算表总"/>
      <sheetName val="预算总表"/>
      <sheetName val="土地开发整理项目总预算及分年度预算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1967.43940707385</v>
          </cell>
        </row>
      </sheetData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统计表"/>
      <sheetName val="混凝土砂浆单价计算表"/>
      <sheetName val="工程施工费单价分析表"/>
      <sheetName val="机械台班单价计算表"/>
      <sheetName val="次要材料价格计算表"/>
      <sheetName val="主要材料价格表"/>
      <sheetName val="人工工资预算单价"/>
      <sheetName val="季度分月用款计划表 "/>
      <sheetName val="不可预见费预算表"/>
      <sheetName val="其他费用预算表"/>
      <sheetName val="设备费预算表"/>
      <sheetName val="工程施工费单价汇总表"/>
      <sheetName val="工程施工费预算表"/>
      <sheetName val="工程施工费预算表总"/>
      <sheetName val="预算总表"/>
      <sheetName val="土地开发整理项目总预算及分年度预算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685.773860070127</v>
          </cell>
        </row>
      </sheetData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统计表"/>
      <sheetName val="混凝土砂浆单价计算表"/>
      <sheetName val="工程施工费单价分析表"/>
      <sheetName val="机械台班单价计算表"/>
      <sheetName val="次要材料价格计算表"/>
      <sheetName val="主要材料价格表"/>
      <sheetName val="人工工资预算单价"/>
      <sheetName val="季度分月用款计划表 "/>
      <sheetName val="不可预见费预算表"/>
      <sheetName val="其他费用预算表"/>
      <sheetName val="设备费预算表"/>
      <sheetName val="工程施工费单价汇总表"/>
      <sheetName val="工程施工费预算表"/>
      <sheetName val="工程施工费预算表总"/>
      <sheetName val="预算总表"/>
      <sheetName val="土地开发整理项目总预算及分年度预算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596.076374889272</v>
          </cell>
        </row>
      </sheetData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区间费率计算表"/>
      <sheetName val="电单位估价表"/>
      <sheetName val="土、水、路、林单位估价表"/>
      <sheetName val="机械台班预算单价计算表"/>
      <sheetName val="混凝土单价"/>
      <sheetName val="单价表"/>
      <sheetName val="人工工资预算单价"/>
      <sheetName val="季度分月用款计划表 "/>
      <sheetName val="不可预见费预算表"/>
      <sheetName val="业主管理费预算表"/>
      <sheetName val="竣工验收费预算表"/>
      <sheetName val="工程监理费预算表"/>
      <sheetName val="前期工作费预算表"/>
      <sheetName val="其他费用"/>
      <sheetName val="电力设备费预算表"/>
      <sheetName val="农水设备费预算表"/>
      <sheetName val="设备费预算表 总"/>
      <sheetName val="电力工程间接费预算表 "/>
      <sheetName val="农水间接费预算表"/>
      <sheetName val="电直接工程费预算表 "/>
      <sheetName val="农水直接工程费预算表"/>
      <sheetName val="电直接费预算表"/>
      <sheetName val="农水直接费预算表"/>
      <sheetName val="电力工程施工费预算表 "/>
      <sheetName val="农水工程施工费预算表"/>
      <sheetName val="工程施工费预算表总"/>
      <sheetName val="预算总表"/>
      <sheetName val="土地开发整理项目总预算及分年度预算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H10">
            <v>2650.16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view="pageBreakPreview" zoomScaleNormal="100" workbookViewId="0">
      <selection activeCell="E25" sqref="E25"/>
    </sheetView>
  </sheetViews>
  <sheetFormatPr defaultColWidth="9" defaultRowHeight="14.25"/>
  <cols>
    <col min="2" max="2" width="21.2" customWidth="1"/>
  </cols>
  <sheetData>
    <row r="1" ht="18.75" spans="1:15">
      <c r="A1" s="45" t="s">
        <v>0</v>
      </c>
      <c r="B1" s="153" t="s">
        <v>1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3" ht="30" customHeight="1" spans="1:15">
      <c r="A3" s="154" t="s">
        <v>2</v>
      </c>
      <c r="B3" s="154" t="s">
        <v>3</v>
      </c>
      <c r="C3" s="154" t="s">
        <v>4</v>
      </c>
      <c r="D3" s="154" t="s">
        <v>5</v>
      </c>
      <c r="E3" s="154" t="s">
        <v>6</v>
      </c>
      <c r="F3" s="155"/>
      <c r="G3" s="154" t="s">
        <v>7</v>
      </c>
      <c r="H3" s="155"/>
      <c r="I3" s="154" t="s">
        <v>8</v>
      </c>
      <c r="J3" s="155"/>
      <c r="K3" s="154" t="s">
        <v>9</v>
      </c>
      <c r="L3" s="155"/>
      <c r="M3" s="154" t="s">
        <v>10</v>
      </c>
      <c r="N3" s="155"/>
      <c r="O3" s="154" t="s">
        <v>11</v>
      </c>
    </row>
    <row r="4" ht="30" customHeight="1" spans="1:15">
      <c r="A4" s="155"/>
      <c r="B4" s="155"/>
      <c r="C4" s="155"/>
      <c r="D4" s="155"/>
      <c r="E4" s="155" t="s">
        <v>12</v>
      </c>
      <c r="F4" s="154" t="s">
        <v>13</v>
      </c>
      <c r="G4" s="155" t="s">
        <v>14</v>
      </c>
      <c r="H4" s="156" t="s">
        <v>13</v>
      </c>
      <c r="I4" s="155" t="s">
        <v>14</v>
      </c>
      <c r="J4" s="154" t="s">
        <v>13</v>
      </c>
      <c r="K4" s="155" t="s">
        <v>14</v>
      </c>
      <c r="L4" s="154" t="s">
        <v>13</v>
      </c>
      <c r="M4" s="155" t="s">
        <v>12</v>
      </c>
      <c r="N4" s="154" t="s">
        <v>13</v>
      </c>
      <c r="O4" s="155"/>
    </row>
    <row r="5" ht="35.1" customHeight="1" spans="1:15">
      <c r="A5" s="157" t="s">
        <v>15</v>
      </c>
      <c r="B5" s="158" t="s">
        <v>16</v>
      </c>
      <c r="C5" s="157" t="s">
        <v>17</v>
      </c>
      <c r="D5" s="157" t="s">
        <v>15</v>
      </c>
      <c r="E5" s="157" t="s">
        <v>18</v>
      </c>
      <c r="F5" s="159">
        <f>[1]主要材料价格表!L11</f>
        <v>0.34</v>
      </c>
      <c r="G5" s="157" t="s">
        <v>19</v>
      </c>
      <c r="H5" s="159">
        <f>H6</f>
        <v>50</v>
      </c>
      <c r="I5" s="157" t="s">
        <v>20</v>
      </c>
      <c r="J5" s="159">
        <f>J6</f>
        <v>60</v>
      </c>
      <c r="K5" s="157" t="s">
        <v>21</v>
      </c>
      <c r="L5" s="159">
        <f>L6</f>
        <v>4</v>
      </c>
      <c r="M5" s="157"/>
      <c r="N5" s="158"/>
      <c r="O5" s="159">
        <f>E5*F5+G5*H5+I5*J5+K5*L5</f>
        <v>153.46</v>
      </c>
    </row>
    <row r="6" ht="35.1" customHeight="1" spans="1:15">
      <c r="A6" s="157" t="s">
        <v>22</v>
      </c>
      <c r="B6" s="158" t="s">
        <v>23</v>
      </c>
      <c r="C6" s="157" t="s">
        <v>17</v>
      </c>
      <c r="D6" s="157" t="s">
        <v>15</v>
      </c>
      <c r="E6" s="157" t="s">
        <v>24</v>
      </c>
      <c r="F6" s="159">
        <f t="shared" ref="F6:F11" si="0">F5</f>
        <v>0.34</v>
      </c>
      <c r="G6" s="157" t="s">
        <v>25</v>
      </c>
      <c r="H6" s="159">
        <f>H7</f>
        <v>50</v>
      </c>
      <c r="I6" s="157" t="s">
        <v>26</v>
      </c>
      <c r="J6" s="159">
        <f>J7</f>
        <v>60</v>
      </c>
      <c r="K6" s="157" t="s">
        <v>21</v>
      </c>
      <c r="L6" s="159">
        <f>L7</f>
        <v>4</v>
      </c>
      <c r="M6" s="157"/>
      <c r="N6" s="158"/>
      <c r="O6" s="159">
        <f t="shared" ref="O6:O11" si="1">E6*F6+G6*H6+I6*J6+K6*L6</f>
        <v>162.98</v>
      </c>
    </row>
    <row r="7" ht="35.1" customHeight="1" spans="1:15">
      <c r="A7" s="157" t="s">
        <v>27</v>
      </c>
      <c r="B7" s="158" t="s">
        <v>28</v>
      </c>
      <c r="C7" s="157" t="s">
        <v>29</v>
      </c>
      <c r="D7" s="160">
        <v>1</v>
      </c>
      <c r="E7" s="157" t="s">
        <v>30</v>
      </c>
      <c r="F7" s="159">
        <f>[1]主要材料价格表!M12</f>
        <v>0.3</v>
      </c>
      <c r="G7" s="157" t="s">
        <v>31</v>
      </c>
      <c r="H7" s="159">
        <f>H8</f>
        <v>50</v>
      </c>
      <c r="I7" s="157" t="s">
        <v>32</v>
      </c>
      <c r="J7" s="159">
        <f>J8</f>
        <v>60</v>
      </c>
      <c r="K7" s="157" t="s">
        <v>21</v>
      </c>
      <c r="L7" s="159">
        <f>L8</f>
        <v>4</v>
      </c>
      <c r="M7" s="157"/>
      <c r="N7" s="158"/>
      <c r="O7" s="159">
        <f t="shared" si="1"/>
        <v>159.48</v>
      </c>
    </row>
    <row r="8" ht="35.1" customHeight="1" spans="1:15">
      <c r="A8" s="157" t="s">
        <v>33</v>
      </c>
      <c r="B8" s="158" t="s">
        <v>34</v>
      </c>
      <c r="C8" s="159">
        <v>42.5</v>
      </c>
      <c r="D8" s="160">
        <v>1</v>
      </c>
      <c r="E8" s="159">
        <v>321</v>
      </c>
      <c r="F8" s="159">
        <f>[1]主要材料价格表!M11</f>
        <v>0.3</v>
      </c>
      <c r="G8" s="159">
        <v>0.54</v>
      </c>
      <c r="H8" s="159">
        <f>[1]主要材料价格表!L6</f>
        <v>50</v>
      </c>
      <c r="I8" s="159">
        <v>0.72</v>
      </c>
      <c r="J8" s="159">
        <f>[1]主要材料价格表!L9</f>
        <v>60</v>
      </c>
      <c r="K8" s="161">
        <v>0.17</v>
      </c>
      <c r="L8" s="159">
        <f>[1]次要材料价格计算表!L13</f>
        <v>4</v>
      </c>
      <c r="M8" s="159"/>
      <c r="N8" s="159"/>
      <c r="O8" s="159">
        <f t="shared" si="1"/>
        <v>167.18</v>
      </c>
    </row>
    <row r="9" ht="30" customHeight="1" spans="1:15">
      <c r="A9" s="157" t="s">
        <v>35</v>
      </c>
      <c r="B9" s="157" t="s">
        <v>36</v>
      </c>
      <c r="C9" s="159">
        <v>32.5</v>
      </c>
      <c r="D9" s="160"/>
      <c r="E9" s="159">
        <v>211</v>
      </c>
      <c r="F9" s="159">
        <f>F6</f>
        <v>0.34</v>
      </c>
      <c r="G9" s="159">
        <v>1.13</v>
      </c>
      <c r="H9" s="159">
        <f>H8</f>
        <v>50</v>
      </c>
      <c r="I9" s="159"/>
      <c r="J9" s="159"/>
      <c r="K9" s="161">
        <v>0.127</v>
      </c>
      <c r="L9" s="159">
        <f>L8</f>
        <v>4</v>
      </c>
      <c r="M9" s="159"/>
      <c r="N9" s="159"/>
      <c r="O9" s="159">
        <f t="shared" si="1"/>
        <v>128.748</v>
      </c>
    </row>
    <row r="10" ht="30" customHeight="1" spans="1:15">
      <c r="A10" s="157" t="s">
        <v>37</v>
      </c>
      <c r="B10" s="157" t="s">
        <v>38</v>
      </c>
      <c r="C10" s="159">
        <v>32.5</v>
      </c>
      <c r="D10" s="160"/>
      <c r="E10" s="159">
        <v>261</v>
      </c>
      <c r="F10" s="159">
        <f t="shared" si="0"/>
        <v>0.34</v>
      </c>
      <c r="G10" s="159">
        <v>1.11</v>
      </c>
      <c r="H10" s="159">
        <f>H9</f>
        <v>50</v>
      </c>
      <c r="I10" s="159"/>
      <c r="J10" s="159"/>
      <c r="K10" s="161">
        <v>0.157</v>
      </c>
      <c r="L10" s="159">
        <f>L9</f>
        <v>4</v>
      </c>
      <c r="M10" s="159"/>
      <c r="N10" s="159"/>
      <c r="O10" s="159">
        <f t="shared" si="1"/>
        <v>144.868</v>
      </c>
    </row>
    <row r="11" ht="30" customHeight="1" spans="1:15">
      <c r="A11" s="157" t="s">
        <v>39</v>
      </c>
      <c r="B11" s="157" t="s">
        <v>40</v>
      </c>
      <c r="C11" s="159">
        <v>32.5</v>
      </c>
      <c r="D11" s="160"/>
      <c r="E11" s="159">
        <v>305</v>
      </c>
      <c r="F11" s="159">
        <f t="shared" si="0"/>
        <v>0.34</v>
      </c>
      <c r="G11" s="159">
        <v>1.1</v>
      </c>
      <c r="H11" s="159">
        <f>H10</f>
        <v>50</v>
      </c>
      <c r="I11" s="159"/>
      <c r="J11" s="159"/>
      <c r="K11" s="161">
        <v>0.183</v>
      </c>
      <c r="L11" s="159">
        <f>L10</f>
        <v>4</v>
      </c>
      <c r="M11" s="159"/>
      <c r="N11" s="159"/>
      <c r="O11" s="159">
        <f t="shared" si="1"/>
        <v>159.432</v>
      </c>
    </row>
  </sheetData>
  <mergeCells count="11">
    <mergeCell ref="B1:O1"/>
    <mergeCell ref="E3:F3"/>
    <mergeCell ref="G3:H3"/>
    <mergeCell ref="I3:J3"/>
    <mergeCell ref="K3:L3"/>
    <mergeCell ref="M3:N3"/>
    <mergeCell ref="A3:A4"/>
    <mergeCell ref="B3:B4"/>
    <mergeCell ref="C3:C4"/>
    <mergeCell ref="D3:D4"/>
    <mergeCell ref="O3:O4"/>
  </mergeCells>
  <pageMargins left="0.75" right="0.75" top="1" bottom="1" header="0.5" footer="0.5"/>
  <pageSetup paperSize="9" scale="5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2" sqref="F2:G2"/>
    </sheetView>
  </sheetViews>
  <sheetFormatPr defaultColWidth="6.75" defaultRowHeight="11.25" outlineLevelCol="6"/>
  <cols>
    <col min="1" max="1" width="18.625" style="143" customWidth="1"/>
    <col min="2" max="2" width="7.25" style="143" customWidth="1"/>
    <col min="3" max="3" width="13.5" style="143" customWidth="1"/>
    <col min="4" max="4" width="5.875" style="143" customWidth="1"/>
    <col min="5" max="5" width="12.75" style="143" customWidth="1"/>
    <col min="6" max="6" width="5.5" style="143" customWidth="1"/>
    <col min="7" max="7" width="21.25" style="143" customWidth="1"/>
    <col min="8" max="16384" width="6.75" style="143"/>
  </cols>
  <sheetData>
    <row r="1" s="143" customFormat="1" ht="57" customHeight="1" spans="1:7">
      <c r="A1" s="144"/>
      <c r="B1" s="144"/>
      <c r="C1" s="145" t="s">
        <v>41</v>
      </c>
      <c r="D1" s="145"/>
      <c r="E1" s="145"/>
      <c r="F1" s="146" t="s">
        <v>42</v>
      </c>
      <c r="G1" s="146"/>
    </row>
    <row r="2" s="143" customFormat="1" ht="67.5" customHeight="1" spans="1:7">
      <c r="A2" s="144"/>
      <c r="B2" s="144"/>
      <c r="C2" s="147" t="s">
        <v>43</v>
      </c>
      <c r="D2" s="147"/>
      <c r="E2" s="147"/>
      <c r="F2" s="148"/>
      <c r="G2" s="148"/>
    </row>
    <row r="3" s="143" customFormat="1" ht="30" customHeight="1" spans="1:7">
      <c r="A3" s="149"/>
      <c r="B3" s="149"/>
      <c r="C3" s="149"/>
      <c r="D3" s="149"/>
      <c r="E3" s="149"/>
      <c r="F3" s="149"/>
      <c r="G3" s="149"/>
    </row>
    <row r="4" s="143" customFormat="1" ht="66" customHeight="1" spans="1:7">
      <c r="A4" s="149" t="s">
        <v>44</v>
      </c>
      <c r="B4" s="150"/>
      <c r="C4" s="150"/>
      <c r="D4" s="149"/>
      <c r="E4" s="149" t="s">
        <v>45</v>
      </c>
      <c r="F4" s="149"/>
      <c r="G4" s="150"/>
    </row>
    <row r="5" s="143" customFormat="1" ht="18.75" customHeight="1" spans="1:7">
      <c r="A5" s="149"/>
      <c r="B5" s="151" t="s">
        <v>46</v>
      </c>
      <c r="C5" s="151"/>
      <c r="D5" s="149"/>
      <c r="E5" s="149"/>
      <c r="F5" s="149"/>
      <c r="G5" s="151" t="s">
        <v>47</v>
      </c>
    </row>
    <row r="6" s="143" customFormat="1" ht="119.25" customHeight="1" spans="1:7">
      <c r="A6" s="149" t="s">
        <v>48</v>
      </c>
      <c r="B6" s="150"/>
      <c r="C6" s="150"/>
      <c r="D6" s="149"/>
      <c r="E6" s="149" t="s">
        <v>48</v>
      </c>
      <c r="F6" s="149"/>
      <c r="G6" s="150"/>
    </row>
    <row r="7" s="143" customFormat="1" ht="18" customHeight="1" spans="1:7">
      <c r="A7" s="149"/>
      <c r="B7" s="151" t="s">
        <v>49</v>
      </c>
      <c r="C7" s="151"/>
      <c r="D7" s="149"/>
      <c r="E7" s="149"/>
      <c r="F7" s="149"/>
      <c r="G7" s="151" t="s">
        <v>49</v>
      </c>
    </row>
    <row r="8" s="143" customFormat="1" ht="119.25" customHeight="1" spans="1:7">
      <c r="A8" s="149" t="s">
        <v>50</v>
      </c>
      <c r="B8" s="150"/>
      <c r="C8" s="150"/>
      <c r="D8" s="149"/>
      <c r="E8" s="149" t="s">
        <v>51</v>
      </c>
      <c r="F8" s="149"/>
      <c r="G8" s="150"/>
    </row>
    <row r="9" s="143" customFormat="1" ht="18" customHeight="1" spans="1:7">
      <c r="A9" s="149"/>
      <c r="B9" s="151" t="s">
        <v>52</v>
      </c>
      <c r="C9" s="151"/>
      <c r="D9" s="149"/>
      <c r="E9" s="149"/>
      <c r="F9" s="149"/>
      <c r="G9" s="151" t="s">
        <v>53</v>
      </c>
    </row>
    <row r="10" s="143" customFormat="1" ht="119.25" customHeight="1" spans="1:7">
      <c r="A10" s="149" t="s">
        <v>54</v>
      </c>
      <c r="B10" s="149" t="s">
        <v>55</v>
      </c>
      <c r="C10" s="149"/>
      <c r="D10" s="149"/>
      <c r="E10" s="149" t="s">
        <v>56</v>
      </c>
      <c r="F10" s="149"/>
      <c r="G10" s="149" t="s">
        <v>55</v>
      </c>
    </row>
    <row r="11" s="143" customFormat="1" ht="14.25" customHeight="1" spans="1:7">
      <c r="A11" s="144"/>
      <c r="B11" s="144"/>
      <c r="C11" s="152"/>
      <c r="D11" s="152"/>
      <c r="E11" s="152"/>
      <c r="F11" s="148" t="s">
        <v>57</v>
      </c>
      <c r="G11" s="148"/>
    </row>
  </sheetData>
  <mergeCells count="25">
    <mergeCell ref="A1:B1"/>
    <mergeCell ref="C1:E1"/>
    <mergeCell ref="F1:G1"/>
    <mergeCell ref="A2:B2"/>
    <mergeCell ref="C2:E2"/>
    <mergeCell ref="F2:G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A11:B11"/>
    <mergeCell ref="C11:E11"/>
    <mergeCell ref="F11:G11"/>
  </mergeCells>
  <pageMargins left="0.590277777777778" right="0.393055555555556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E220"/>
  <sheetViews>
    <sheetView tabSelected="1" view="pageBreakPreview" zoomScaleNormal="100" topLeftCell="A191" workbookViewId="0">
      <selection activeCell="M154" sqref="M154"/>
    </sheetView>
  </sheetViews>
  <sheetFormatPr defaultColWidth="9" defaultRowHeight="33" customHeight="1" outlineLevelCol="4"/>
  <cols>
    <col min="1" max="1" width="5.625" style="125" customWidth="1"/>
    <col min="2" max="2" width="30.25" style="125" customWidth="1"/>
    <col min="3" max="3" width="48.375" style="125" customWidth="1"/>
    <col min="4" max="5" width="5.375" style="126" customWidth="1"/>
    <col min="6" max="16384" width="9" style="127"/>
  </cols>
  <sheetData>
    <row r="1" s="123" customFormat="1" ht="47" customHeight="1" spans="1:5">
      <c r="A1" s="128" t="s">
        <v>58</v>
      </c>
      <c r="B1" s="128"/>
      <c r="C1" s="129"/>
      <c r="D1" s="128"/>
      <c r="E1" s="128"/>
    </row>
    <row r="2" s="124" customFormat="1" ht="20" customHeight="1" spans="1:5">
      <c r="A2" s="130" t="s">
        <v>59</v>
      </c>
      <c r="B2" s="130" t="s">
        <v>60</v>
      </c>
      <c r="C2" s="130" t="s">
        <v>61</v>
      </c>
      <c r="D2" s="130" t="s">
        <v>62</v>
      </c>
      <c r="E2" s="130" t="s">
        <v>63</v>
      </c>
    </row>
    <row r="3" s="124" customFormat="1" ht="20" customHeight="1" spans="1:5">
      <c r="A3" s="130"/>
      <c r="B3" s="130"/>
      <c r="C3" s="130"/>
      <c r="D3" s="130"/>
      <c r="E3" s="130"/>
    </row>
    <row r="4" s="123" customFormat="1" ht="20" customHeight="1" spans="1:5">
      <c r="A4" s="131">
        <v>1</v>
      </c>
      <c r="B4" s="132" t="s">
        <v>64</v>
      </c>
      <c r="C4" s="133" t="s">
        <v>65</v>
      </c>
      <c r="D4" s="131">
        <v>1</v>
      </c>
      <c r="E4" s="131" t="s">
        <v>66</v>
      </c>
    </row>
    <row r="5" s="123" customFormat="1" ht="20" customHeight="1" spans="1:5">
      <c r="A5" s="131"/>
      <c r="B5" s="132"/>
      <c r="C5" s="133"/>
      <c r="D5" s="131"/>
      <c r="E5" s="131"/>
    </row>
    <row r="6" s="123" customFormat="1" ht="20" customHeight="1" spans="1:5">
      <c r="A6" s="131"/>
      <c r="B6" s="132"/>
      <c r="C6" s="133"/>
      <c r="D6" s="131"/>
      <c r="E6" s="131"/>
    </row>
    <row r="7" s="123" customFormat="1" ht="20" customHeight="1" spans="1:5">
      <c r="A7" s="131"/>
      <c r="B7" s="132"/>
      <c r="C7" s="133"/>
      <c r="D7" s="131"/>
      <c r="E7" s="131"/>
    </row>
    <row r="8" s="123" customFormat="1" ht="20" customHeight="1" spans="1:5">
      <c r="A8" s="131"/>
      <c r="B8" s="132"/>
      <c r="C8" s="133"/>
      <c r="D8" s="131"/>
      <c r="E8" s="131"/>
    </row>
    <row r="9" s="123" customFormat="1" ht="20" customHeight="1" spans="1:5">
      <c r="A9" s="131"/>
      <c r="B9" s="132"/>
      <c r="C9" s="133"/>
      <c r="D9" s="131"/>
      <c r="E9" s="131"/>
    </row>
    <row r="10" s="123" customFormat="1" ht="17" customHeight="1" spans="1:5">
      <c r="A10" s="131"/>
      <c r="B10" s="134"/>
      <c r="C10" s="135"/>
      <c r="D10" s="131"/>
      <c r="E10" s="131"/>
    </row>
    <row r="11" s="123" customFormat="1" ht="24" customHeight="1" spans="1:5">
      <c r="A11" s="136">
        <v>2</v>
      </c>
      <c r="B11" s="137" t="s">
        <v>67</v>
      </c>
      <c r="C11" s="138" t="s">
        <v>68</v>
      </c>
      <c r="D11" s="136">
        <v>2</v>
      </c>
      <c r="E11" s="136" t="s">
        <v>66</v>
      </c>
    </row>
    <row r="12" s="123" customFormat="1" ht="20" customHeight="1" spans="1:5">
      <c r="A12" s="131"/>
      <c r="B12" s="132"/>
      <c r="C12" s="133"/>
      <c r="D12" s="131"/>
      <c r="E12" s="131"/>
    </row>
    <row r="13" s="123" customFormat="1" ht="20" customHeight="1" spans="1:5">
      <c r="A13" s="131"/>
      <c r="B13" s="132"/>
      <c r="C13" s="133"/>
      <c r="D13" s="131"/>
      <c r="E13" s="131"/>
    </row>
    <row r="14" s="123" customFormat="1" ht="20" customHeight="1" spans="1:5">
      <c r="A14" s="131"/>
      <c r="B14" s="132"/>
      <c r="C14" s="133"/>
      <c r="D14" s="131"/>
      <c r="E14" s="131"/>
    </row>
    <row r="15" s="123" customFormat="1" ht="20" customHeight="1" spans="1:5">
      <c r="A15" s="131"/>
      <c r="B15" s="132"/>
      <c r="C15" s="133"/>
      <c r="D15" s="131"/>
      <c r="E15" s="131"/>
    </row>
    <row r="16" s="123" customFormat="1" ht="19" customHeight="1" spans="1:5">
      <c r="A16" s="131"/>
      <c r="B16" s="134"/>
      <c r="C16" s="135"/>
      <c r="D16" s="131"/>
      <c r="E16" s="131"/>
    </row>
    <row r="17" s="123" customFormat="1" ht="27" customHeight="1" spans="1:5">
      <c r="A17" s="131">
        <v>3</v>
      </c>
      <c r="B17" s="132" t="s">
        <v>69</v>
      </c>
      <c r="C17" s="133" t="s">
        <v>70</v>
      </c>
      <c r="D17" s="131">
        <v>3</v>
      </c>
      <c r="E17" s="131" t="s">
        <v>66</v>
      </c>
    </row>
    <row r="18" s="123" customFormat="1" ht="20" customHeight="1" spans="1:5">
      <c r="A18" s="131"/>
      <c r="B18" s="132"/>
      <c r="C18" s="133"/>
      <c r="D18" s="131"/>
      <c r="E18" s="131"/>
    </row>
    <row r="19" s="123" customFormat="1" ht="20" customHeight="1" spans="1:5">
      <c r="A19" s="131"/>
      <c r="B19" s="132"/>
      <c r="C19" s="133"/>
      <c r="D19" s="131"/>
      <c r="E19" s="131"/>
    </row>
    <row r="20" s="123" customFormat="1" ht="20" customHeight="1" spans="1:5">
      <c r="A20" s="131"/>
      <c r="B20" s="132"/>
      <c r="C20" s="133"/>
      <c r="D20" s="131"/>
      <c r="E20" s="131"/>
    </row>
    <row r="21" s="123" customFormat="1" ht="20" customHeight="1" spans="1:5">
      <c r="A21" s="131"/>
      <c r="B21" s="132"/>
      <c r="C21" s="133"/>
      <c r="D21" s="131"/>
      <c r="E21" s="131"/>
    </row>
    <row r="22" s="123" customFormat="1" ht="13" customHeight="1" spans="1:5">
      <c r="A22" s="131"/>
      <c r="B22" s="132"/>
      <c r="C22" s="133"/>
      <c r="D22" s="131"/>
      <c r="E22" s="131"/>
    </row>
    <row r="23" s="123" customFormat="1" ht="20" customHeight="1" spans="1:5">
      <c r="A23" s="131"/>
      <c r="B23" s="134"/>
      <c r="C23" s="135"/>
      <c r="D23" s="131"/>
      <c r="E23" s="131"/>
    </row>
    <row r="24" s="123" customFormat="1" ht="32" customHeight="1" spans="1:5">
      <c r="A24" s="131">
        <v>4</v>
      </c>
      <c r="B24" s="132" t="s">
        <v>71</v>
      </c>
      <c r="C24" s="133" t="s">
        <v>72</v>
      </c>
      <c r="D24" s="131">
        <v>3</v>
      </c>
      <c r="E24" s="131" t="s">
        <v>66</v>
      </c>
    </row>
    <row r="25" s="123" customFormat="1" ht="27" customHeight="1" spans="1:5">
      <c r="A25" s="131"/>
      <c r="B25" s="132"/>
      <c r="C25" s="133"/>
      <c r="D25" s="131"/>
      <c r="E25" s="131"/>
    </row>
    <row r="26" s="123" customFormat="1" ht="20" customHeight="1" spans="1:5">
      <c r="A26" s="131"/>
      <c r="B26" s="132"/>
      <c r="C26" s="133"/>
      <c r="D26" s="131"/>
      <c r="E26" s="131"/>
    </row>
    <row r="27" s="123" customFormat="1" ht="20" customHeight="1" spans="1:5">
      <c r="A27" s="131"/>
      <c r="B27" s="132"/>
      <c r="C27" s="133"/>
      <c r="D27" s="131"/>
      <c r="E27" s="131"/>
    </row>
    <row r="28" s="123" customFormat="1" ht="20" customHeight="1" spans="1:5">
      <c r="A28" s="131"/>
      <c r="B28" s="132"/>
      <c r="C28" s="133"/>
      <c r="D28" s="131"/>
      <c r="E28" s="131"/>
    </row>
    <row r="29" s="123" customFormat="1" ht="23" customHeight="1" spans="1:5">
      <c r="A29" s="131"/>
      <c r="B29" s="132"/>
      <c r="C29" s="133"/>
      <c r="D29" s="131"/>
      <c r="E29" s="131"/>
    </row>
    <row r="30" s="123" customFormat="1" ht="20" customHeight="1" spans="1:5">
      <c r="A30" s="131"/>
      <c r="B30" s="132"/>
      <c r="C30" s="133"/>
      <c r="D30" s="131"/>
      <c r="E30" s="131"/>
    </row>
    <row r="31" s="123" customFormat="1" ht="36" customHeight="1" spans="1:5">
      <c r="A31" s="131"/>
      <c r="B31" s="134"/>
      <c r="C31" s="135"/>
      <c r="D31" s="131"/>
      <c r="E31" s="131"/>
    </row>
    <row r="32" s="123" customFormat="1" ht="28" customHeight="1" spans="1:5">
      <c r="A32" s="131">
        <v>5</v>
      </c>
      <c r="B32" s="132" t="s">
        <v>73</v>
      </c>
      <c r="C32" s="133" t="s">
        <v>74</v>
      </c>
      <c r="D32" s="131">
        <v>2</v>
      </c>
      <c r="E32" s="131" t="s">
        <v>66</v>
      </c>
    </row>
    <row r="33" s="123" customFormat="1" ht="25" customHeight="1" spans="1:5">
      <c r="A33" s="131"/>
      <c r="B33" s="132"/>
      <c r="C33" s="133"/>
      <c r="D33" s="131"/>
      <c r="E33" s="131"/>
    </row>
    <row r="34" s="123" customFormat="1" ht="20" customHeight="1" spans="1:5">
      <c r="A34" s="131"/>
      <c r="B34" s="132"/>
      <c r="C34" s="133"/>
      <c r="D34" s="131"/>
      <c r="E34" s="131"/>
    </row>
    <row r="35" s="123" customFormat="1" ht="20" customHeight="1" spans="1:5">
      <c r="A35" s="131"/>
      <c r="B35" s="132"/>
      <c r="C35" s="133"/>
      <c r="D35" s="131"/>
      <c r="E35" s="131"/>
    </row>
    <row r="36" s="123" customFormat="1" ht="20" customHeight="1" spans="1:5">
      <c r="A36" s="131"/>
      <c r="B36" s="132"/>
      <c r="C36" s="133"/>
      <c r="D36" s="131"/>
      <c r="E36" s="131"/>
    </row>
    <row r="37" s="123" customFormat="1" ht="24" customHeight="1" spans="1:5">
      <c r="A37" s="131"/>
      <c r="B37" s="132"/>
      <c r="C37" s="133"/>
      <c r="D37" s="131"/>
      <c r="E37" s="131"/>
    </row>
    <row r="38" s="123" customFormat="1" ht="6" customHeight="1" spans="1:5">
      <c r="A38" s="131"/>
      <c r="B38" s="134"/>
      <c r="C38" s="135"/>
      <c r="D38" s="131"/>
      <c r="E38" s="131"/>
    </row>
    <row r="39" s="123" customFormat="1" ht="20" customHeight="1" spans="1:5">
      <c r="A39" s="131">
        <v>6</v>
      </c>
      <c r="B39" s="134" t="s">
        <v>75</v>
      </c>
      <c r="C39" s="133" t="s">
        <v>76</v>
      </c>
      <c r="D39" s="131">
        <v>2</v>
      </c>
      <c r="E39" s="131" t="s">
        <v>66</v>
      </c>
    </row>
    <row r="40" s="123" customFormat="1" ht="20" customHeight="1" spans="1:5">
      <c r="A40" s="131"/>
      <c r="B40" s="134"/>
      <c r="C40" s="133"/>
      <c r="D40" s="131"/>
      <c r="E40" s="131"/>
    </row>
    <row r="41" s="123" customFormat="1" ht="20" customHeight="1" spans="1:5">
      <c r="A41" s="131"/>
      <c r="B41" s="134"/>
      <c r="C41" s="133"/>
      <c r="D41" s="131"/>
      <c r="E41" s="131"/>
    </row>
    <row r="42" s="123" customFormat="1" ht="20" customHeight="1" spans="1:5">
      <c r="A42" s="131"/>
      <c r="B42" s="134"/>
      <c r="C42" s="133"/>
      <c r="D42" s="131"/>
      <c r="E42" s="131"/>
    </row>
    <row r="43" s="123" customFormat="1" ht="20" customHeight="1" spans="1:5">
      <c r="A43" s="131"/>
      <c r="B43" s="134"/>
      <c r="C43" s="133"/>
      <c r="D43" s="131"/>
      <c r="E43" s="131"/>
    </row>
    <row r="44" s="123" customFormat="1" ht="20" customHeight="1" spans="1:5">
      <c r="A44" s="131"/>
      <c r="B44" s="134"/>
      <c r="C44" s="133"/>
      <c r="D44" s="131"/>
      <c r="E44" s="131"/>
    </row>
    <row r="45" s="123" customFormat="1" ht="20" customHeight="1" spans="1:5">
      <c r="A45" s="131"/>
      <c r="B45" s="134"/>
      <c r="C45" s="133"/>
      <c r="D45" s="131"/>
      <c r="E45" s="131"/>
    </row>
    <row r="46" s="123" customFormat="1" ht="21" customHeight="1" spans="1:5">
      <c r="A46" s="131"/>
      <c r="B46" s="134"/>
      <c r="C46" s="135"/>
      <c r="D46" s="131"/>
      <c r="E46" s="131"/>
    </row>
    <row r="47" s="123" customFormat="1" ht="20" customHeight="1" spans="1:5">
      <c r="A47" s="131">
        <v>7</v>
      </c>
      <c r="B47" s="134" t="s">
        <v>77</v>
      </c>
      <c r="C47" s="133" t="s">
        <v>78</v>
      </c>
      <c r="D47" s="131">
        <v>4</v>
      </c>
      <c r="E47" s="131" t="s">
        <v>66</v>
      </c>
    </row>
    <row r="48" s="123" customFormat="1" ht="20" customHeight="1" spans="1:5">
      <c r="A48" s="131"/>
      <c r="B48" s="134"/>
      <c r="C48" s="133"/>
      <c r="D48" s="131"/>
      <c r="E48" s="131"/>
    </row>
    <row r="49" s="123" customFormat="1" ht="20" customHeight="1" spans="1:5">
      <c r="A49" s="131"/>
      <c r="B49" s="134"/>
      <c r="C49" s="133"/>
      <c r="D49" s="131"/>
      <c r="E49" s="131"/>
    </row>
    <row r="50" s="123" customFormat="1" ht="20" customHeight="1" spans="1:5">
      <c r="A50" s="131"/>
      <c r="B50" s="134"/>
      <c r="C50" s="133"/>
      <c r="D50" s="131"/>
      <c r="E50" s="131"/>
    </row>
    <row r="51" s="123" customFormat="1" ht="20" customHeight="1" spans="1:5">
      <c r="A51" s="131"/>
      <c r="B51" s="134"/>
      <c r="C51" s="133"/>
      <c r="D51" s="131"/>
      <c r="E51" s="131"/>
    </row>
    <row r="52" s="123" customFormat="1" ht="26" customHeight="1" spans="1:5">
      <c r="A52" s="131"/>
      <c r="B52" s="134"/>
      <c r="C52" s="135"/>
      <c r="D52" s="131"/>
      <c r="E52" s="131"/>
    </row>
    <row r="53" s="123" customFormat="1" ht="28" customHeight="1" spans="1:5">
      <c r="A53" s="131">
        <v>8</v>
      </c>
      <c r="B53" s="134" t="s">
        <v>79</v>
      </c>
      <c r="C53" s="133" t="s">
        <v>80</v>
      </c>
      <c r="D53" s="131">
        <v>1</v>
      </c>
      <c r="E53" s="131" t="s">
        <v>66</v>
      </c>
    </row>
    <row r="54" s="123" customFormat="1" ht="20" customHeight="1" spans="1:5">
      <c r="A54" s="131"/>
      <c r="B54" s="134"/>
      <c r="C54" s="133"/>
      <c r="D54" s="131"/>
      <c r="E54" s="131"/>
    </row>
    <row r="55" s="123" customFormat="1" ht="20" customHeight="1" spans="1:5">
      <c r="A55" s="131"/>
      <c r="B55" s="134"/>
      <c r="C55" s="133"/>
      <c r="D55" s="131"/>
      <c r="E55" s="131"/>
    </row>
    <row r="56" s="123" customFormat="1" ht="20" customHeight="1" spans="1:5">
      <c r="A56" s="131"/>
      <c r="B56" s="134"/>
      <c r="C56" s="133"/>
      <c r="D56" s="131"/>
      <c r="E56" s="131"/>
    </row>
    <row r="57" s="123" customFormat="1" ht="20" customHeight="1" spans="1:5">
      <c r="A57" s="131"/>
      <c r="B57" s="134"/>
      <c r="C57" s="133"/>
      <c r="D57" s="131"/>
      <c r="E57" s="131"/>
    </row>
    <row r="58" s="123" customFormat="1" ht="42" customHeight="1" spans="1:5">
      <c r="A58" s="131"/>
      <c r="B58" s="134"/>
      <c r="C58" s="133"/>
      <c r="D58" s="131"/>
      <c r="E58" s="131"/>
    </row>
    <row r="59" s="123" customFormat="1" ht="9" customHeight="1" spans="1:5">
      <c r="A59" s="131"/>
      <c r="B59" s="134"/>
      <c r="C59" s="135"/>
      <c r="D59" s="131"/>
      <c r="E59" s="131"/>
    </row>
    <row r="60" s="123" customFormat="1" ht="20" customHeight="1" spans="1:5">
      <c r="A60" s="131">
        <v>9</v>
      </c>
      <c r="B60" s="134" t="s">
        <v>81</v>
      </c>
      <c r="C60" s="139" t="s">
        <v>82</v>
      </c>
      <c r="D60" s="131">
        <v>1</v>
      </c>
      <c r="E60" s="131" t="s">
        <v>66</v>
      </c>
    </row>
    <row r="61" s="123" customFormat="1" ht="20" customHeight="1" spans="1:5">
      <c r="A61" s="131"/>
      <c r="B61" s="134"/>
      <c r="C61" s="139"/>
      <c r="D61" s="131"/>
      <c r="E61" s="131"/>
    </row>
    <row r="62" s="123" customFormat="1" ht="21" customHeight="1" spans="1:5">
      <c r="A62" s="131"/>
      <c r="B62" s="134"/>
      <c r="C62" s="140"/>
      <c r="D62" s="131"/>
      <c r="E62" s="131"/>
    </row>
    <row r="63" s="123" customFormat="1" ht="20" customHeight="1" spans="1:5">
      <c r="A63" s="131">
        <v>10</v>
      </c>
      <c r="B63" s="134" t="s">
        <v>81</v>
      </c>
      <c r="C63" s="139" t="s">
        <v>83</v>
      </c>
      <c r="D63" s="131">
        <v>1</v>
      </c>
      <c r="E63" s="131" t="s">
        <v>66</v>
      </c>
    </row>
    <row r="64" s="123" customFormat="1" ht="20" customHeight="1" spans="1:5">
      <c r="A64" s="131"/>
      <c r="B64" s="134"/>
      <c r="C64" s="139"/>
      <c r="D64" s="131"/>
      <c r="E64" s="131"/>
    </row>
    <row r="65" s="123" customFormat="1" ht="18" customHeight="1" spans="1:5">
      <c r="A65" s="131"/>
      <c r="B65" s="134"/>
      <c r="C65" s="140"/>
      <c r="D65" s="131"/>
      <c r="E65" s="131"/>
    </row>
    <row r="66" s="123" customFormat="1" ht="20" customHeight="1" spans="1:5">
      <c r="A66" s="131">
        <v>11</v>
      </c>
      <c r="B66" s="132" t="s">
        <v>84</v>
      </c>
      <c r="C66" s="139" t="s">
        <v>85</v>
      </c>
      <c r="D66" s="131">
        <v>6</v>
      </c>
      <c r="E66" s="131" t="s">
        <v>66</v>
      </c>
    </row>
    <row r="67" s="123" customFormat="1" ht="20" customHeight="1" spans="1:5">
      <c r="A67" s="131"/>
      <c r="B67" s="132"/>
      <c r="C67" s="139"/>
      <c r="D67" s="131"/>
      <c r="E67" s="131"/>
    </row>
    <row r="68" s="123" customFormat="1" ht="20" customHeight="1" spans="1:5">
      <c r="A68" s="131"/>
      <c r="B68" s="132"/>
      <c r="C68" s="139"/>
      <c r="D68" s="131"/>
      <c r="E68" s="131"/>
    </row>
    <row r="69" s="123" customFormat="1" ht="6" customHeight="1" spans="1:5">
      <c r="A69" s="131"/>
      <c r="B69" s="134"/>
      <c r="C69" s="140"/>
      <c r="D69" s="131"/>
      <c r="E69" s="131"/>
    </row>
    <row r="70" s="123" customFormat="1" ht="20" customHeight="1" spans="1:5">
      <c r="A70" s="131">
        <v>12</v>
      </c>
      <c r="B70" s="134" t="s">
        <v>86</v>
      </c>
      <c r="C70" s="139" t="s">
        <v>87</v>
      </c>
      <c r="D70" s="131">
        <v>1</v>
      </c>
      <c r="E70" s="131" t="s">
        <v>66</v>
      </c>
    </row>
    <row r="71" s="123" customFormat="1" ht="20" customHeight="1" spans="1:5">
      <c r="A71" s="131"/>
      <c r="B71" s="134"/>
      <c r="C71" s="139"/>
      <c r="D71" s="131"/>
      <c r="E71" s="131"/>
    </row>
    <row r="72" s="123" customFormat="1" ht="14" customHeight="1" spans="1:5">
      <c r="A72" s="131"/>
      <c r="B72" s="134"/>
      <c r="C72" s="140"/>
      <c r="D72" s="131"/>
      <c r="E72" s="131"/>
    </row>
    <row r="73" s="123" customFormat="1" ht="20" customHeight="1" spans="1:5">
      <c r="A73" s="131">
        <v>13</v>
      </c>
      <c r="B73" s="134" t="s">
        <v>86</v>
      </c>
      <c r="C73" s="139" t="s">
        <v>88</v>
      </c>
      <c r="D73" s="131">
        <v>1</v>
      </c>
      <c r="E73" s="131" t="s">
        <v>66</v>
      </c>
    </row>
    <row r="74" s="123" customFormat="1" ht="20" customHeight="1" spans="1:5">
      <c r="A74" s="131"/>
      <c r="B74" s="134"/>
      <c r="C74" s="139"/>
      <c r="D74" s="131"/>
      <c r="E74" s="131"/>
    </row>
    <row r="75" s="123" customFormat="1" ht="12" customHeight="1" spans="1:5">
      <c r="A75" s="131"/>
      <c r="B75" s="134"/>
      <c r="C75" s="140"/>
      <c r="D75" s="131"/>
      <c r="E75" s="131"/>
    </row>
    <row r="76" s="123" customFormat="1" ht="20" customHeight="1" spans="1:5">
      <c r="A76" s="136">
        <v>14</v>
      </c>
      <c r="B76" s="141" t="s">
        <v>89</v>
      </c>
      <c r="C76" s="142" t="s">
        <v>90</v>
      </c>
      <c r="D76" s="136">
        <v>1</v>
      </c>
      <c r="E76" s="136" t="s">
        <v>91</v>
      </c>
    </row>
    <row r="77" s="123" customFormat="1" ht="20" customHeight="1" spans="1:5">
      <c r="A77" s="131"/>
      <c r="B77" s="134"/>
      <c r="C77" s="139"/>
      <c r="D77" s="131"/>
      <c r="E77" s="131"/>
    </row>
    <row r="78" s="123" customFormat="1" ht="20" customHeight="1" spans="1:5">
      <c r="A78" s="131"/>
      <c r="B78" s="134"/>
      <c r="C78" s="139"/>
      <c r="D78" s="131"/>
      <c r="E78" s="131"/>
    </row>
    <row r="79" s="123" customFormat="1" ht="20" customHeight="1" spans="1:5">
      <c r="A79" s="131"/>
      <c r="B79" s="134"/>
      <c r="C79" s="139"/>
      <c r="D79" s="131"/>
      <c r="E79" s="131"/>
    </row>
    <row r="80" s="123" customFormat="1" ht="20" customHeight="1" spans="1:5">
      <c r="A80" s="131"/>
      <c r="B80" s="134"/>
      <c r="C80" s="140"/>
      <c r="D80" s="131"/>
      <c r="E80" s="131"/>
    </row>
    <row r="81" s="123" customFormat="1" ht="20" customHeight="1" spans="1:5">
      <c r="A81" s="131">
        <v>15</v>
      </c>
      <c r="B81" s="134" t="s">
        <v>64</v>
      </c>
      <c r="C81" s="133" t="s">
        <v>92</v>
      </c>
      <c r="D81" s="131">
        <v>1</v>
      </c>
      <c r="E81" s="131" t="s">
        <v>66</v>
      </c>
    </row>
    <row r="82" s="123" customFormat="1" ht="20" customHeight="1" spans="1:5">
      <c r="A82" s="131"/>
      <c r="B82" s="134"/>
      <c r="C82" s="133"/>
      <c r="D82" s="131"/>
      <c r="E82" s="131"/>
    </row>
    <row r="83" s="123" customFormat="1" ht="20" customHeight="1" spans="1:5">
      <c r="A83" s="131"/>
      <c r="B83" s="134"/>
      <c r="C83" s="133"/>
      <c r="D83" s="131"/>
      <c r="E83" s="131"/>
    </row>
    <row r="84" s="123" customFormat="1" ht="20" customHeight="1" spans="1:5">
      <c r="A84" s="131"/>
      <c r="B84" s="134"/>
      <c r="C84" s="133"/>
      <c r="D84" s="131"/>
      <c r="E84" s="131"/>
    </row>
    <row r="85" s="123" customFormat="1" ht="20" customHeight="1" spans="1:5">
      <c r="A85" s="131"/>
      <c r="B85" s="134"/>
      <c r="C85" s="133"/>
      <c r="D85" s="131"/>
      <c r="E85" s="131"/>
    </row>
    <row r="86" s="123" customFormat="1" ht="23" customHeight="1" spans="1:5">
      <c r="A86" s="131"/>
      <c r="B86" s="134"/>
      <c r="C86" s="133"/>
      <c r="D86" s="131"/>
      <c r="E86" s="131"/>
    </row>
    <row r="87" s="123" customFormat="1" ht="9" customHeight="1" spans="1:5">
      <c r="A87" s="131"/>
      <c r="B87" s="134"/>
      <c r="C87" s="135"/>
      <c r="D87" s="131"/>
      <c r="E87" s="131"/>
    </row>
    <row r="88" s="123" customFormat="1" ht="20" customHeight="1" spans="1:5">
      <c r="A88" s="131">
        <v>16</v>
      </c>
      <c r="B88" s="132" t="s">
        <v>67</v>
      </c>
      <c r="C88" s="133" t="s">
        <v>93</v>
      </c>
      <c r="D88" s="131">
        <v>2</v>
      </c>
      <c r="E88" s="131" t="s">
        <v>66</v>
      </c>
    </row>
    <row r="89" s="123" customFormat="1" ht="28" customHeight="1" spans="1:5">
      <c r="A89" s="131"/>
      <c r="B89" s="132"/>
      <c r="C89" s="133"/>
      <c r="D89" s="131"/>
      <c r="E89" s="131"/>
    </row>
    <row r="90" s="123" customFormat="1" ht="20" customHeight="1" spans="1:5">
      <c r="A90" s="131"/>
      <c r="B90" s="132"/>
      <c r="C90" s="133"/>
      <c r="D90" s="131"/>
      <c r="E90" s="131"/>
    </row>
    <row r="91" s="123" customFormat="1" ht="20" customHeight="1" spans="1:5">
      <c r="A91" s="131"/>
      <c r="B91" s="132"/>
      <c r="C91" s="133"/>
      <c r="D91" s="131"/>
      <c r="E91" s="131"/>
    </row>
    <row r="92" s="123" customFormat="1" ht="24" customHeight="1" spans="1:5">
      <c r="A92" s="131"/>
      <c r="B92" s="132"/>
      <c r="C92" s="133"/>
      <c r="D92" s="131"/>
      <c r="E92" s="131"/>
    </row>
    <row r="93" s="123" customFormat="1" ht="14" customHeight="1" spans="1:5">
      <c r="A93" s="131"/>
      <c r="B93" s="134"/>
      <c r="C93" s="135"/>
      <c r="D93" s="131"/>
      <c r="E93" s="131"/>
    </row>
    <row r="94" s="123" customFormat="1" ht="20" customHeight="1" spans="1:5">
      <c r="A94" s="131">
        <v>17</v>
      </c>
      <c r="B94" s="134" t="s">
        <v>69</v>
      </c>
      <c r="C94" s="133" t="s">
        <v>94</v>
      </c>
      <c r="D94" s="131">
        <v>2</v>
      </c>
      <c r="E94" s="131" t="s">
        <v>66</v>
      </c>
    </row>
    <row r="95" s="123" customFormat="1" ht="27" customHeight="1" spans="1:5">
      <c r="A95" s="131"/>
      <c r="B95" s="134"/>
      <c r="C95" s="133"/>
      <c r="D95" s="131"/>
      <c r="E95" s="131"/>
    </row>
    <row r="96" s="123" customFormat="1" ht="20" customHeight="1" spans="1:5">
      <c r="A96" s="131"/>
      <c r="B96" s="134"/>
      <c r="C96" s="133"/>
      <c r="D96" s="131"/>
      <c r="E96" s="131"/>
    </row>
    <row r="97" s="123" customFormat="1" ht="20" customHeight="1" spans="1:5">
      <c r="A97" s="131"/>
      <c r="B97" s="134"/>
      <c r="C97" s="133"/>
      <c r="D97" s="131"/>
      <c r="E97" s="131"/>
    </row>
    <row r="98" s="123" customFormat="1" ht="20" customHeight="1" spans="1:5">
      <c r="A98" s="131"/>
      <c r="B98" s="134"/>
      <c r="C98" s="133"/>
      <c r="D98" s="131"/>
      <c r="E98" s="131"/>
    </row>
    <row r="99" s="123" customFormat="1" ht="11" customHeight="1" spans="1:5">
      <c r="A99" s="131"/>
      <c r="B99" s="134"/>
      <c r="C99" s="133"/>
      <c r="D99" s="131"/>
      <c r="E99" s="131"/>
    </row>
    <row r="100" s="123" customFormat="1" ht="8" customHeight="1" spans="1:5">
      <c r="A100" s="131"/>
      <c r="B100" s="134"/>
      <c r="C100" s="135"/>
      <c r="D100" s="131"/>
      <c r="E100" s="131"/>
    </row>
    <row r="101" s="123" customFormat="1" ht="20" customHeight="1" spans="1:5">
      <c r="A101" s="131">
        <v>18</v>
      </c>
      <c r="B101" s="132" t="s">
        <v>95</v>
      </c>
      <c r="C101" s="133" t="s">
        <v>96</v>
      </c>
      <c r="D101" s="131">
        <v>2</v>
      </c>
      <c r="E101" s="131" t="s">
        <v>66</v>
      </c>
    </row>
    <row r="102" s="123" customFormat="1" ht="26" customHeight="1" spans="1:5">
      <c r="A102" s="131"/>
      <c r="B102" s="132"/>
      <c r="C102" s="133"/>
      <c r="D102" s="131"/>
      <c r="E102" s="131"/>
    </row>
    <row r="103" s="123" customFormat="1" ht="20" customHeight="1" spans="1:5">
      <c r="A103" s="131"/>
      <c r="B103" s="132"/>
      <c r="C103" s="133"/>
      <c r="D103" s="131"/>
      <c r="E103" s="131"/>
    </row>
    <row r="104" s="123" customFormat="1" ht="20" customHeight="1" spans="1:5">
      <c r="A104" s="131"/>
      <c r="B104" s="132"/>
      <c r="C104" s="133"/>
      <c r="D104" s="131"/>
      <c r="E104" s="131"/>
    </row>
    <row r="105" s="123" customFormat="1" ht="20" customHeight="1" spans="1:5">
      <c r="A105" s="131"/>
      <c r="B105" s="132"/>
      <c r="C105" s="133"/>
      <c r="D105" s="131"/>
      <c r="E105" s="131"/>
    </row>
    <row r="106" s="123" customFormat="1" ht="20" customHeight="1" spans="1:5">
      <c r="A106" s="131"/>
      <c r="B106" s="132"/>
      <c r="C106" s="133"/>
      <c r="D106" s="131"/>
      <c r="E106" s="131"/>
    </row>
    <row r="107" s="123" customFormat="1" ht="29" customHeight="1" spans="1:5">
      <c r="A107" s="131"/>
      <c r="B107" s="132"/>
      <c r="C107" s="133"/>
      <c r="D107" s="131"/>
      <c r="E107" s="131"/>
    </row>
    <row r="108" s="123" customFormat="1" ht="29" customHeight="1" spans="1:5">
      <c r="A108" s="131"/>
      <c r="B108" s="134"/>
      <c r="C108" s="135"/>
      <c r="D108" s="131"/>
      <c r="E108" s="131"/>
    </row>
    <row r="109" s="123" customFormat="1" ht="20" customHeight="1" spans="1:5">
      <c r="A109" s="131">
        <v>19</v>
      </c>
      <c r="B109" s="132" t="s">
        <v>73</v>
      </c>
      <c r="C109" s="133" t="s">
        <v>97</v>
      </c>
      <c r="D109" s="131">
        <v>2</v>
      </c>
      <c r="E109" s="131" t="s">
        <v>66</v>
      </c>
    </row>
    <row r="110" s="123" customFormat="1" ht="20" customHeight="1" spans="1:5">
      <c r="A110" s="131"/>
      <c r="B110" s="132"/>
      <c r="C110" s="133"/>
      <c r="D110" s="131"/>
      <c r="E110" s="131"/>
    </row>
    <row r="111" s="123" customFormat="1" ht="20" customHeight="1" spans="1:5">
      <c r="A111" s="131"/>
      <c r="B111" s="132"/>
      <c r="C111" s="133"/>
      <c r="D111" s="131"/>
      <c r="E111" s="131"/>
    </row>
    <row r="112" s="123" customFormat="1" ht="20" customHeight="1" spans="1:5">
      <c r="A112" s="131"/>
      <c r="B112" s="132"/>
      <c r="C112" s="133"/>
      <c r="D112" s="131"/>
      <c r="E112" s="131"/>
    </row>
    <row r="113" s="123" customFormat="1" ht="20" customHeight="1" spans="1:5">
      <c r="A113" s="131"/>
      <c r="B113" s="132"/>
      <c r="C113" s="133"/>
      <c r="D113" s="131"/>
      <c r="E113" s="131"/>
    </row>
    <row r="114" s="123" customFormat="1" ht="2" customHeight="1" spans="1:5">
      <c r="A114" s="131"/>
      <c r="B114" s="132"/>
      <c r="C114" s="133"/>
      <c r="D114" s="131"/>
      <c r="E114" s="131"/>
    </row>
    <row r="115" s="123" customFormat="1" ht="13" customHeight="1" spans="1:5">
      <c r="A115" s="131"/>
      <c r="B115" s="134"/>
      <c r="C115" s="135"/>
      <c r="D115" s="131"/>
      <c r="E115" s="131"/>
    </row>
    <row r="116" s="123" customFormat="1" ht="20" customHeight="1" spans="1:5">
      <c r="A116" s="131">
        <v>20</v>
      </c>
      <c r="B116" s="134" t="s">
        <v>98</v>
      </c>
      <c r="C116" s="133" t="s">
        <v>99</v>
      </c>
      <c r="D116" s="131">
        <v>2</v>
      </c>
      <c r="E116" s="131" t="s">
        <v>66</v>
      </c>
    </row>
    <row r="117" s="123" customFormat="1" ht="20" customHeight="1" spans="1:5">
      <c r="A117" s="131"/>
      <c r="B117" s="134"/>
      <c r="C117" s="133"/>
      <c r="D117" s="131"/>
      <c r="E117" s="131"/>
    </row>
    <row r="118" s="123" customFormat="1" ht="20" customHeight="1" spans="1:5">
      <c r="A118" s="131"/>
      <c r="B118" s="134"/>
      <c r="C118" s="133"/>
      <c r="D118" s="131"/>
      <c r="E118" s="131"/>
    </row>
    <row r="119" s="123" customFormat="1" ht="20" customHeight="1" spans="1:5">
      <c r="A119" s="131"/>
      <c r="B119" s="134"/>
      <c r="C119" s="133"/>
      <c r="D119" s="131"/>
      <c r="E119" s="131"/>
    </row>
    <row r="120" s="123" customFormat="1" ht="20" customHeight="1" spans="1:5">
      <c r="A120" s="131"/>
      <c r="B120" s="134"/>
      <c r="C120" s="133"/>
      <c r="D120" s="131"/>
      <c r="E120" s="131"/>
    </row>
    <row r="121" s="123" customFormat="1" ht="20" customHeight="1" spans="1:5">
      <c r="A121" s="131"/>
      <c r="B121" s="134"/>
      <c r="C121" s="133"/>
      <c r="D121" s="131"/>
      <c r="E121" s="131"/>
    </row>
    <row r="122" s="123" customFormat="1" ht="3" customHeight="1" spans="1:5">
      <c r="A122" s="131"/>
      <c r="B122" s="134"/>
      <c r="C122" s="133"/>
      <c r="D122" s="131"/>
      <c r="E122" s="131"/>
    </row>
    <row r="123" s="123" customFormat="1" ht="32" customHeight="1" spans="1:5">
      <c r="A123" s="131"/>
      <c r="B123" s="134"/>
      <c r="C123" s="135"/>
      <c r="D123" s="131"/>
      <c r="E123" s="131"/>
    </row>
    <row r="124" s="123" customFormat="1" ht="20" customHeight="1" spans="1:5">
      <c r="A124" s="131">
        <v>21</v>
      </c>
      <c r="B124" s="132" t="s">
        <v>67</v>
      </c>
      <c r="C124" s="133" t="s">
        <v>100</v>
      </c>
      <c r="D124" s="131">
        <v>1</v>
      </c>
      <c r="E124" s="131" t="s">
        <v>66</v>
      </c>
    </row>
    <row r="125" s="123" customFormat="1" ht="20" customHeight="1" spans="1:5">
      <c r="A125" s="131"/>
      <c r="B125" s="132"/>
      <c r="C125" s="133"/>
      <c r="D125" s="131"/>
      <c r="E125" s="131"/>
    </row>
    <row r="126" s="123" customFormat="1" ht="20" customHeight="1" spans="1:5">
      <c r="A126" s="131"/>
      <c r="B126" s="132"/>
      <c r="C126" s="133"/>
      <c r="D126" s="131"/>
      <c r="E126" s="131"/>
    </row>
    <row r="127" s="123" customFormat="1" ht="20" customHeight="1" spans="1:5">
      <c r="A127" s="131"/>
      <c r="B127" s="132"/>
      <c r="C127" s="133"/>
      <c r="D127" s="131"/>
      <c r="E127" s="131"/>
    </row>
    <row r="128" s="123" customFormat="1" ht="17" customHeight="1" spans="1:5">
      <c r="A128" s="131"/>
      <c r="B128" s="132"/>
      <c r="C128" s="133"/>
      <c r="D128" s="131"/>
      <c r="E128" s="131"/>
    </row>
    <row r="129" s="123" customFormat="1" ht="2" hidden="1" customHeight="1" spans="1:5">
      <c r="A129" s="131"/>
      <c r="B129" s="132"/>
      <c r="C129" s="133"/>
      <c r="D129" s="131"/>
      <c r="E129" s="131"/>
    </row>
    <row r="130" s="123" customFormat="1" ht="20" customHeight="1" spans="1:5">
      <c r="A130" s="131"/>
      <c r="B130" s="134"/>
      <c r="C130" s="135"/>
      <c r="D130" s="131"/>
      <c r="E130" s="131"/>
    </row>
    <row r="131" s="123" customFormat="1" ht="20" customHeight="1" spans="1:5">
      <c r="A131" s="131">
        <v>22</v>
      </c>
      <c r="B131" s="132" t="s">
        <v>101</v>
      </c>
      <c r="C131" s="133" t="s">
        <v>102</v>
      </c>
      <c r="D131" s="131">
        <v>2</v>
      </c>
      <c r="E131" s="131" t="s">
        <v>66</v>
      </c>
    </row>
    <row r="132" s="123" customFormat="1" ht="20" customHeight="1" spans="1:5">
      <c r="A132" s="131"/>
      <c r="B132" s="132"/>
      <c r="C132" s="133"/>
      <c r="D132" s="131"/>
      <c r="E132" s="131"/>
    </row>
    <row r="133" s="123" customFormat="1" ht="20" customHeight="1" spans="1:5">
      <c r="A133" s="131"/>
      <c r="B133" s="132"/>
      <c r="C133" s="133"/>
      <c r="D133" s="131"/>
      <c r="E133" s="131"/>
    </row>
    <row r="134" s="123" customFormat="1" ht="20" customHeight="1" spans="1:5">
      <c r="A134" s="131"/>
      <c r="B134" s="132"/>
      <c r="C134" s="133"/>
      <c r="D134" s="131"/>
      <c r="E134" s="131"/>
    </row>
    <row r="135" s="123" customFormat="1" ht="20" customHeight="1" spans="1:5">
      <c r="A135" s="131"/>
      <c r="B135" s="132"/>
      <c r="C135" s="133"/>
      <c r="D135" s="131"/>
      <c r="E135" s="131"/>
    </row>
    <row r="136" s="123" customFormat="1" ht="20" customHeight="1" spans="1:5">
      <c r="A136" s="131"/>
      <c r="B136" s="132"/>
      <c r="C136" s="133"/>
      <c r="D136" s="131"/>
      <c r="E136" s="131"/>
    </row>
    <row r="137" s="123" customFormat="1" ht="10" customHeight="1" spans="1:5">
      <c r="A137" s="131"/>
      <c r="B137" s="134"/>
      <c r="C137" s="135"/>
      <c r="D137" s="131"/>
      <c r="E137" s="131"/>
    </row>
    <row r="138" s="123" customFormat="1" ht="20" customHeight="1" spans="1:5">
      <c r="A138" s="131">
        <v>23</v>
      </c>
      <c r="B138" s="134" t="s">
        <v>103</v>
      </c>
      <c r="C138" s="133" t="s">
        <v>104</v>
      </c>
      <c r="D138" s="131">
        <v>1</v>
      </c>
      <c r="E138" s="131" t="s">
        <v>66</v>
      </c>
    </row>
    <row r="139" s="123" customFormat="1" ht="20" customHeight="1" spans="1:5">
      <c r="A139" s="131"/>
      <c r="B139" s="134"/>
      <c r="C139" s="133"/>
      <c r="D139" s="131"/>
      <c r="E139" s="131"/>
    </row>
    <row r="140" s="123" customFormat="1" ht="20" customHeight="1" spans="1:5">
      <c r="A140" s="131"/>
      <c r="B140" s="134"/>
      <c r="C140" s="133"/>
      <c r="D140" s="131"/>
      <c r="E140" s="131"/>
    </row>
    <row r="141" s="123" customFormat="1" ht="20" customHeight="1" spans="1:5">
      <c r="A141" s="131"/>
      <c r="B141" s="134"/>
      <c r="C141" s="133"/>
      <c r="D141" s="131"/>
      <c r="E141" s="131"/>
    </row>
    <row r="142" s="123" customFormat="1" ht="20" customHeight="1" spans="1:5">
      <c r="A142" s="131"/>
      <c r="B142" s="134"/>
      <c r="C142" s="133"/>
      <c r="D142" s="131"/>
      <c r="E142" s="131"/>
    </row>
    <row r="143" s="123" customFormat="1" ht="4" customHeight="1" spans="1:5">
      <c r="A143" s="131"/>
      <c r="B143" s="134"/>
      <c r="C143" s="133"/>
      <c r="D143" s="131"/>
      <c r="E143" s="131"/>
    </row>
    <row r="144" s="123" customFormat="1" ht="24" customHeight="1" spans="1:5">
      <c r="A144" s="131"/>
      <c r="B144" s="134"/>
      <c r="C144" s="135"/>
      <c r="D144" s="131"/>
      <c r="E144" s="131"/>
    </row>
    <row r="145" s="123" customFormat="1" ht="5" customHeight="1" spans="1:5">
      <c r="A145" s="131">
        <v>24</v>
      </c>
      <c r="B145" s="134" t="s">
        <v>105</v>
      </c>
      <c r="C145" s="133" t="s">
        <v>106</v>
      </c>
      <c r="D145" s="131">
        <v>1</v>
      </c>
      <c r="E145" s="131" t="s">
        <v>91</v>
      </c>
    </row>
    <row r="146" s="123" customFormat="1" ht="20" customHeight="1" spans="1:5">
      <c r="A146" s="131"/>
      <c r="B146" s="134"/>
      <c r="C146" s="133"/>
      <c r="D146" s="131"/>
      <c r="E146" s="131"/>
    </row>
    <row r="147" s="123" customFormat="1" ht="20" customHeight="1" spans="1:5">
      <c r="A147" s="131"/>
      <c r="B147" s="134"/>
      <c r="C147" s="133"/>
      <c r="D147" s="131"/>
      <c r="E147" s="131"/>
    </row>
    <row r="148" s="123" customFormat="1" ht="15" customHeight="1" spans="1:5">
      <c r="A148" s="131"/>
      <c r="B148" s="134"/>
      <c r="C148" s="133"/>
      <c r="D148" s="131"/>
      <c r="E148" s="131"/>
    </row>
    <row r="149" s="123" customFormat="1" ht="3" hidden="1" customHeight="1" spans="1:5">
      <c r="A149" s="131"/>
      <c r="B149" s="134"/>
      <c r="C149" s="133"/>
      <c r="D149" s="131"/>
      <c r="E149" s="131"/>
    </row>
    <row r="150" s="123" customFormat="1" ht="48" customHeight="1" spans="1:5">
      <c r="A150" s="131"/>
      <c r="B150" s="134"/>
      <c r="C150" s="135"/>
      <c r="D150" s="131"/>
      <c r="E150" s="131"/>
    </row>
    <row r="151" s="123" customFormat="1" ht="20" customHeight="1" spans="1:5">
      <c r="A151" s="131">
        <v>25</v>
      </c>
      <c r="B151" s="134" t="s">
        <v>81</v>
      </c>
      <c r="C151" s="139" t="s">
        <v>107</v>
      </c>
      <c r="D151" s="131">
        <v>1</v>
      </c>
      <c r="E151" s="131" t="s">
        <v>66</v>
      </c>
    </row>
    <row r="152" s="123" customFormat="1" ht="20" customHeight="1" spans="1:5">
      <c r="A152" s="131"/>
      <c r="B152" s="134"/>
      <c r="C152" s="139"/>
      <c r="D152" s="131"/>
      <c r="E152" s="131"/>
    </row>
    <row r="153" s="123" customFormat="1" ht="9" customHeight="1" spans="1:5">
      <c r="A153" s="131"/>
      <c r="B153" s="134"/>
      <c r="C153" s="140"/>
      <c r="D153" s="131"/>
      <c r="E153" s="131"/>
    </row>
    <row r="154" s="123" customFormat="1" ht="20" customHeight="1" spans="1:5">
      <c r="A154" s="131">
        <v>26</v>
      </c>
      <c r="B154" s="132" t="s">
        <v>84</v>
      </c>
      <c r="C154" s="133" t="s">
        <v>108</v>
      </c>
      <c r="D154" s="131">
        <v>4</v>
      </c>
      <c r="E154" s="131" t="s">
        <v>66</v>
      </c>
    </row>
    <row r="155" s="123" customFormat="1" ht="20" customHeight="1" spans="1:5">
      <c r="A155" s="131"/>
      <c r="B155" s="132"/>
      <c r="C155" s="133"/>
      <c r="D155" s="131"/>
      <c r="E155" s="131"/>
    </row>
    <row r="156" s="123" customFormat="1" ht="10" customHeight="1" spans="1:5">
      <c r="A156" s="131"/>
      <c r="B156" s="132"/>
      <c r="C156" s="133"/>
      <c r="D156" s="131"/>
      <c r="E156" s="131"/>
    </row>
    <row r="157" s="123" customFormat="1" ht="6" customHeight="1" spans="1:5">
      <c r="A157" s="131"/>
      <c r="B157" s="134"/>
      <c r="C157" s="135"/>
      <c r="D157" s="131"/>
      <c r="E157" s="131"/>
    </row>
    <row r="158" s="123" customFormat="1" ht="20" customHeight="1" spans="1:5">
      <c r="A158" s="131">
        <v>27</v>
      </c>
      <c r="B158" s="132" t="s">
        <v>109</v>
      </c>
      <c r="C158" s="133" t="s">
        <v>110</v>
      </c>
      <c r="D158" s="131">
        <v>4</v>
      </c>
      <c r="E158" s="131" t="s">
        <v>66</v>
      </c>
    </row>
    <row r="159" s="123" customFormat="1" ht="20" customHeight="1" spans="1:5">
      <c r="A159" s="131"/>
      <c r="B159" s="132"/>
      <c r="C159" s="133"/>
      <c r="D159" s="131"/>
      <c r="E159" s="131"/>
    </row>
    <row r="160" s="123" customFormat="1" ht="34" customHeight="1" spans="1:5">
      <c r="A160" s="131"/>
      <c r="B160" s="134"/>
      <c r="C160" s="135"/>
      <c r="D160" s="131"/>
      <c r="E160" s="131"/>
    </row>
    <row r="161" s="123" customFormat="1" ht="20" customHeight="1" spans="1:5">
      <c r="A161" s="131">
        <v>28</v>
      </c>
      <c r="B161" s="132" t="s">
        <v>111</v>
      </c>
      <c r="C161" s="133" t="s">
        <v>112</v>
      </c>
      <c r="D161" s="131">
        <v>1</v>
      </c>
      <c r="E161" s="131" t="s">
        <v>66</v>
      </c>
    </row>
    <row r="162" s="123" customFormat="1" ht="20" customHeight="1" spans="1:5">
      <c r="A162" s="131"/>
      <c r="B162" s="132"/>
      <c r="C162" s="133"/>
      <c r="D162" s="131"/>
      <c r="E162" s="131"/>
    </row>
    <row r="163" s="123" customFormat="1" ht="7" customHeight="1" spans="1:5">
      <c r="A163" s="131"/>
      <c r="B163" s="132"/>
      <c r="C163" s="133"/>
      <c r="D163" s="131"/>
      <c r="E163" s="131"/>
    </row>
    <row r="164" s="123" customFormat="1" ht="18" customHeight="1" spans="1:5">
      <c r="A164" s="131"/>
      <c r="B164" s="134"/>
      <c r="C164" s="135"/>
      <c r="D164" s="131"/>
      <c r="E164" s="131"/>
    </row>
    <row r="165" s="123" customFormat="1" ht="20" customHeight="1" spans="1:5">
      <c r="A165" s="131">
        <v>29</v>
      </c>
      <c r="B165" s="132" t="s">
        <v>113</v>
      </c>
      <c r="C165" s="139" t="s">
        <v>114</v>
      </c>
      <c r="D165" s="131">
        <v>1</v>
      </c>
      <c r="E165" s="131" t="s">
        <v>66</v>
      </c>
    </row>
    <row r="166" s="123" customFormat="1" ht="20" customHeight="1" spans="1:5">
      <c r="A166" s="131"/>
      <c r="B166" s="132"/>
      <c r="C166" s="139"/>
      <c r="D166" s="131"/>
      <c r="E166" s="131"/>
    </row>
    <row r="167" s="123" customFormat="1" ht="20" customHeight="1" spans="1:5">
      <c r="A167" s="131"/>
      <c r="B167" s="132"/>
      <c r="C167" s="139"/>
      <c r="D167" s="131"/>
      <c r="E167" s="131"/>
    </row>
    <row r="168" s="123" customFormat="1" ht="20" customHeight="1" spans="1:5">
      <c r="A168" s="131"/>
      <c r="B168" s="132"/>
      <c r="C168" s="139"/>
      <c r="D168" s="131"/>
      <c r="E168" s="131"/>
    </row>
    <row r="169" s="123" customFormat="1" ht="2" customHeight="1" spans="1:5">
      <c r="A169" s="131"/>
      <c r="B169" s="132"/>
      <c r="C169" s="139"/>
      <c r="D169" s="131"/>
      <c r="E169" s="131"/>
    </row>
    <row r="170" s="123" customFormat="1" ht="20" hidden="1" customHeight="1" spans="1:5">
      <c r="A170" s="131"/>
      <c r="B170" s="132"/>
      <c r="C170" s="139"/>
      <c r="D170" s="131"/>
      <c r="E170" s="131"/>
    </row>
    <row r="171" s="123" customFormat="1" ht="20" customHeight="1" spans="1:5">
      <c r="A171" s="131"/>
      <c r="B171" s="134"/>
      <c r="C171" s="140"/>
      <c r="D171" s="131"/>
      <c r="E171" s="131"/>
    </row>
    <row r="172" s="123" customFormat="1" ht="20" customHeight="1" spans="1:5">
      <c r="A172" s="131">
        <v>30</v>
      </c>
      <c r="B172" s="134" t="s">
        <v>115</v>
      </c>
      <c r="C172" s="133" t="s">
        <v>116</v>
      </c>
      <c r="D172" s="131">
        <v>1</v>
      </c>
      <c r="E172" s="131" t="s">
        <v>91</v>
      </c>
    </row>
    <row r="173" s="123" customFormat="1" ht="20" customHeight="1" spans="1:5">
      <c r="A173" s="131"/>
      <c r="B173" s="134"/>
      <c r="C173" s="133"/>
      <c r="D173" s="131"/>
      <c r="E173" s="131"/>
    </row>
    <row r="174" s="123" customFormat="1" ht="20" customHeight="1" spans="1:5">
      <c r="A174" s="131"/>
      <c r="B174" s="134"/>
      <c r="C174" s="133"/>
      <c r="D174" s="131"/>
      <c r="E174" s="131"/>
    </row>
    <row r="175" s="123" customFormat="1" ht="11" customHeight="1" spans="1:5">
      <c r="A175" s="131"/>
      <c r="B175" s="134"/>
      <c r="C175" s="133"/>
      <c r="D175" s="131"/>
      <c r="E175" s="131"/>
    </row>
    <row r="176" s="123" customFormat="1" ht="11" customHeight="1" spans="1:5">
      <c r="A176" s="131"/>
      <c r="B176" s="134"/>
      <c r="C176" s="133"/>
      <c r="D176" s="131"/>
      <c r="E176" s="131"/>
    </row>
    <row r="177" s="123" customFormat="1" ht="9" customHeight="1" spans="1:5">
      <c r="A177" s="131"/>
      <c r="B177" s="134"/>
      <c r="C177" s="135"/>
      <c r="D177" s="131"/>
      <c r="E177" s="131"/>
    </row>
    <row r="178" s="123" customFormat="1" ht="20" customHeight="1" spans="1:5">
      <c r="A178" s="131">
        <v>31</v>
      </c>
      <c r="B178" s="132" t="s">
        <v>117</v>
      </c>
      <c r="C178" s="133" t="s">
        <v>118</v>
      </c>
      <c r="D178" s="131">
        <v>1</v>
      </c>
      <c r="E178" s="131" t="s">
        <v>66</v>
      </c>
    </row>
    <row r="179" s="123" customFormat="1" ht="20" customHeight="1" spans="1:5">
      <c r="A179" s="131"/>
      <c r="B179" s="132"/>
      <c r="C179" s="133"/>
      <c r="D179" s="131"/>
      <c r="E179" s="131"/>
    </row>
    <row r="180" s="123" customFormat="1" ht="20" customHeight="1" spans="1:5">
      <c r="A180" s="131"/>
      <c r="B180" s="132"/>
      <c r="C180" s="133"/>
      <c r="D180" s="131"/>
      <c r="E180" s="131"/>
    </row>
    <row r="181" s="123" customFormat="1" ht="20" customHeight="1" spans="1:5">
      <c r="A181" s="131"/>
      <c r="B181" s="132"/>
      <c r="C181" s="133"/>
      <c r="D181" s="131"/>
      <c r="E181" s="131"/>
    </row>
    <row r="182" s="123" customFormat="1" ht="20" customHeight="1" spans="1:5">
      <c r="A182" s="131"/>
      <c r="B182" s="132"/>
      <c r="C182" s="133"/>
      <c r="D182" s="131"/>
      <c r="E182" s="131"/>
    </row>
    <row r="183" s="123" customFormat="1" ht="29" customHeight="1" spans="1:5">
      <c r="A183" s="131"/>
      <c r="B183" s="134"/>
      <c r="C183" s="135"/>
      <c r="D183" s="131"/>
      <c r="E183" s="131"/>
    </row>
    <row r="184" s="123" customFormat="1" ht="20" customHeight="1" spans="1:5">
      <c r="A184" s="131">
        <v>32</v>
      </c>
      <c r="B184" s="132" t="s">
        <v>119</v>
      </c>
      <c r="C184" s="133" t="s">
        <v>120</v>
      </c>
      <c r="D184" s="131">
        <v>2</v>
      </c>
      <c r="E184" s="131" t="s">
        <v>66</v>
      </c>
    </row>
    <row r="185" s="123" customFormat="1" ht="20" customHeight="1" spans="1:5">
      <c r="A185" s="131"/>
      <c r="B185" s="132"/>
      <c r="C185" s="133"/>
      <c r="D185" s="131"/>
      <c r="E185" s="131"/>
    </row>
    <row r="186" s="123" customFormat="1" ht="20" customHeight="1" spans="1:5">
      <c r="A186" s="131"/>
      <c r="B186" s="132"/>
      <c r="C186" s="133"/>
      <c r="D186" s="131"/>
      <c r="E186" s="131"/>
    </row>
    <row r="187" s="123" customFormat="1" ht="20" customHeight="1" spans="1:5">
      <c r="A187" s="131"/>
      <c r="B187" s="132"/>
      <c r="C187" s="133"/>
      <c r="D187" s="131"/>
      <c r="E187" s="131"/>
    </row>
    <row r="188" s="123" customFormat="1" ht="14" customHeight="1" spans="1:5">
      <c r="A188" s="131"/>
      <c r="B188" s="132"/>
      <c r="C188" s="133"/>
      <c r="D188" s="131"/>
      <c r="E188" s="131"/>
    </row>
    <row r="189" s="123" customFormat="1" ht="12" customHeight="1" spans="1:5">
      <c r="A189" s="131"/>
      <c r="B189" s="134"/>
      <c r="C189" s="135"/>
      <c r="D189" s="131"/>
      <c r="E189" s="131"/>
    </row>
    <row r="190" s="123" customFormat="1" ht="20" customHeight="1" spans="1:5">
      <c r="A190" s="131">
        <v>33</v>
      </c>
      <c r="B190" s="132" t="s">
        <v>121</v>
      </c>
      <c r="C190" s="133" t="s">
        <v>122</v>
      </c>
      <c r="D190" s="131">
        <v>1</v>
      </c>
      <c r="E190" s="131" t="s">
        <v>66</v>
      </c>
    </row>
    <row r="191" s="123" customFormat="1" ht="20" customHeight="1" spans="1:5">
      <c r="A191" s="131"/>
      <c r="B191" s="132"/>
      <c r="C191" s="133"/>
      <c r="D191" s="131"/>
      <c r="E191" s="131"/>
    </row>
    <row r="192" s="123" customFormat="1" ht="20" customHeight="1" spans="1:5">
      <c r="A192" s="131"/>
      <c r="B192" s="132"/>
      <c r="C192" s="133"/>
      <c r="D192" s="131"/>
      <c r="E192" s="131"/>
    </row>
    <row r="193" s="123" customFormat="1" ht="20" customHeight="1" spans="1:5">
      <c r="A193" s="131"/>
      <c r="B193" s="132"/>
      <c r="C193" s="133"/>
      <c r="D193" s="131"/>
      <c r="E193" s="131"/>
    </row>
    <row r="194" s="123" customFormat="1" ht="20" customHeight="1" spans="1:5">
      <c r="A194" s="131"/>
      <c r="B194" s="132"/>
      <c r="C194" s="133"/>
      <c r="D194" s="131"/>
      <c r="E194" s="131"/>
    </row>
    <row r="195" s="123" customFormat="1" ht="20" customHeight="1" spans="1:5">
      <c r="A195" s="131"/>
      <c r="B195" s="132"/>
      <c r="C195" s="133"/>
      <c r="D195" s="131"/>
      <c r="E195" s="131"/>
    </row>
    <row r="196" s="123" customFormat="1" ht="10" customHeight="1" spans="1:5">
      <c r="A196" s="131"/>
      <c r="B196" s="132"/>
      <c r="C196" s="133"/>
      <c r="D196" s="131"/>
      <c r="E196" s="131"/>
    </row>
    <row r="197" s="123" customFormat="1" ht="26" customHeight="1" spans="1:5">
      <c r="A197" s="131"/>
      <c r="B197" s="134"/>
      <c r="C197" s="135"/>
      <c r="D197" s="131"/>
      <c r="E197" s="131"/>
    </row>
    <row r="198" s="123" customFormat="1" ht="20" customHeight="1" spans="1:5">
      <c r="A198" s="131">
        <v>34</v>
      </c>
      <c r="B198" s="132" t="s">
        <v>123</v>
      </c>
      <c r="C198" s="133" t="s">
        <v>124</v>
      </c>
      <c r="D198" s="131">
        <v>1</v>
      </c>
      <c r="E198" s="131" t="s">
        <v>66</v>
      </c>
    </row>
    <row r="199" s="123" customFormat="1" ht="20" customHeight="1" spans="1:5">
      <c r="A199" s="131"/>
      <c r="B199" s="132"/>
      <c r="C199" s="133"/>
      <c r="D199" s="131"/>
      <c r="E199" s="131"/>
    </row>
    <row r="200" s="123" customFormat="1" ht="20" customHeight="1" spans="1:5">
      <c r="A200" s="131"/>
      <c r="B200" s="132"/>
      <c r="C200" s="133"/>
      <c r="D200" s="131"/>
      <c r="E200" s="131"/>
    </row>
    <row r="201" s="123" customFormat="1" ht="20" customHeight="1" spans="1:5">
      <c r="A201" s="131"/>
      <c r="B201" s="132"/>
      <c r="C201" s="133"/>
      <c r="D201" s="131"/>
      <c r="E201" s="131"/>
    </row>
    <row r="202" s="123" customFormat="1" ht="11" customHeight="1" spans="1:5">
      <c r="A202" s="131"/>
      <c r="B202" s="132"/>
      <c r="C202" s="133"/>
      <c r="D202" s="131"/>
      <c r="E202" s="131"/>
    </row>
    <row r="203" s="123" customFormat="1" ht="6" hidden="1" customHeight="1" spans="1:5">
      <c r="A203" s="131"/>
      <c r="B203" s="132"/>
      <c r="C203" s="133"/>
      <c r="D203" s="131"/>
      <c r="E203" s="131"/>
    </row>
    <row r="204" s="123" customFormat="1" ht="7" customHeight="1" spans="1:5">
      <c r="A204" s="131"/>
      <c r="B204" s="134"/>
      <c r="C204" s="135"/>
      <c r="D204" s="131"/>
      <c r="E204" s="131"/>
    </row>
    <row r="205" s="123" customFormat="1" ht="20" customHeight="1" spans="1:5">
      <c r="A205" s="131">
        <v>35</v>
      </c>
      <c r="B205" s="132" t="s">
        <v>125</v>
      </c>
      <c r="C205" s="133" t="s">
        <v>126</v>
      </c>
      <c r="D205" s="131">
        <v>1</v>
      </c>
      <c r="E205" s="131" t="s">
        <v>91</v>
      </c>
    </row>
    <row r="206" s="123" customFormat="1" ht="20" customHeight="1" spans="1:5">
      <c r="A206" s="131"/>
      <c r="B206" s="132"/>
      <c r="C206" s="133"/>
      <c r="D206" s="131"/>
      <c r="E206" s="131"/>
    </row>
    <row r="207" s="123" customFormat="1" ht="20" customHeight="1" spans="1:5">
      <c r="A207" s="131"/>
      <c r="B207" s="132"/>
      <c r="C207" s="133"/>
      <c r="D207" s="131"/>
      <c r="E207" s="131"/>
    </row>
    <row r="208" s="123" customFormat="1" ht="3" customHeight="1" spans="1:5">
      <c r="A208" s="131"/>
      <c r="B208" s="132"/>
      <c r="C208" s="133"/>
      <c r="D208" s="131"/>
      <c r="E208" s="131"/>
    </row>
    <row r="209" s="123" customFormat="1" ht="15" customHeight="1" spans="1:5">
      <c r="A209" s="131"/>
      <c r="B209" s="134"/>
      <c r="C209" s="135"/>
      <c r="D209" s="131"/>
      <c r="E209" s="131"/>
    </row>
    <row r="210" s="123" customFormat="1" ht="20" customHeight="1" spans="1:5">
      <c r="A210" s="131">
        <v>36</v>
      </c>
      <c r="B210" s="132" t="s">
        <v>127</v>
      </c>
      <c r="C210" s="139" t="s">
        <v>128</v>
      </c>
      <c r="D210" s="131">
        <v>1</v>
      </c>
      <c r="E210" s="131" t="s">
        <v>91</v>
      </c>
    </row>
    <row r="211" s="123" customFormat="1" ht="29" customHeight="1" spans="1:5">
      <c r="A211" s="131"/>
      <c r="B211" s="132"/>
      <c r="C211" s="139"/>
      <c r="D211" s="131"/>
      <c r="E211" s="131"/>
    </row>
    <row r="212" s="123" customFormat="1" ht="8" customHeight="1" spans="1:5">
      <c r="A212" s="131"/>
      <c r="B212" s="134"/>
      <c r="C212" s="140"/>
      <c r="D212" s="131"/>
      <c r="E212" s="131"/>
    </row>
    <row r="213" s="123" customFormat="1" ht="8" hidden="1" customHeight="1" spans="1:5">
      <c r="A213" s="141">
        <v>37</v>
      </c>
      <c r="B213" s="137" t="s">
        <v>129</v>
      </c>
      <c r="C213" s="139" t="s">
        <v>130</v>
      </c>
      <c r="D213" s="132">
        <v>1</v>
      </c>
      <c r="E213" s="132" t="s">
        <v>91</v>
      </c>
    </row>
    <row r="214" s="123" customFormat="1" ht="20" customHeight="1" spans="1:5">
      <c r="A214" s="134"/>
      <c r="B214" s="132"/>
      <c r="C214" s="139"/>
      <c r="D214" s="132"/>
      <c r="E214" s="132"/>
    </row>
    <row r="215" s="123" customFormat="1" ht="20" customHeight="1" spans="1:5">
      <c r="A215" s="134"/>
      <c r="B215" s="132"/>
      <c r="C215" s="139"/>
      <c r="D215" s="132"/>
      <c r="E215" s="132"/>
    </row>
    <row r="216" s="123" customFormat="1" ht="20" customHeight="1" spans="1:5">
      <c r="A216" s="134"/>
      <c r="B216" s="132"/>
      <c r="C216" s="139"/>
      <c r="D216" s="132"/>
      <c r="E216" s="132"/>
    </row>
    <row r="217" s="123" customFormat="1" ht="20" customHeight="1" spans="1:5">
      <c r="A217" s="134"/>
      <c r="B217" s="132"/>
      <c r="C217" s="139"/>
      <c r="D217" s="132"/>
      <c r="E217" s="132"/>
    </row>
    <row r="218" s="123" customFormat="1" ht="5" customHeight="1" spans="1:5">
      <c r="A218" s="134"/>
      <c r="B218" s="132"/>
      <c r="C218" s="139"/>
      <c r="D218" s="132"/>
      <c r="E218" s="132"/>
    </row>
    <row r="219" s="123" customFormat="1" ht="4" customHeight="1" spans="1:5">
      <c r="A219" s="134"/>
      <c r="B219" s="132"/>
      <c r="C219" s="139"/>
      <c r="D219" s="132"/>
      <c r="E219" s="132"/>
    </row>
    <row r="220" s="123" customFormat="1" ht="20" customHeight="1" spans="1:5">
      <c r="A220" s="132"/>
      <c r="B220" s="132"/>
      <c r="C220" s="139"/>
      <c r="D220" s="132"/>
      <c r="E220" s="132"/>
    </row>
  </sheetData>
  <mergeCells count="191">
    <mergeCell ref="A1:E1"/>
    <mergeCell ref="A2:A3"/>
    <mergeCell ref="A4:A10"/>
    <mergeCell ref="A11:A16"/>
    <mergeCell ref="A17:A23"/>
    <mergeCell ref="A24:A31"/>
    <mergeCell ref="A32:A38"/>
    <mergeCell ref="A39:A46"/>
    <mergeCell ref="A47:A52"/>
    <mergeCell ref="A53:A59"/>
    <mergeCell ref="A60:A62"/>
    <mergeCell ref="A63:A65"/>
    <mergeCell ref="A66:A69"/>
    <mergeCell ref="A70:A72"/>
    <mergeCell ref="A73:A75"/>
    <mergeCell ref="A76:A80"/>
    <mergeCell ref="A81:A87"/>
    <mergeCell ref="A88:A93"/>
    <mergeCell ref="A94:A100"/>
    <mergeCell ref="A101:A108"/>
    <mergeCell ref="A109:A115"/>
    <mergeCell ref="A116:A123"/>
    <mergeCell ref="A124:A130"/>
    <mergeCell ref="A131:A137"/>
    <mergeCell ref="A138:A144"/>
    <mergeCell ref="A145:A150"/>
    <mergeCell ref="A151:A153"/>
    <mergeCell ref="A154:A157"/>
    <mergeCell ref="A158:A160"/>
    <mergeCell ref="A161:A164"/>
    <mergeCell ref="A165:A171"/>
    <mergeCell ref="A172:A177"/>
    <mergeCell ref="A178:A183"/>
    <mergeCell ref="A184:A189"/>
    <mergeCell ref="A190:A197"/>
    <mergeCell ref="A198:A204"/>
    <mergeCell ref="A205:A209"/>
    <mergeCell ref="A210:A212"/>
    <mergeCell ref="A213:A220"/>
    <mergeCell ref="B2:B3"/>
    <mergeCell ref="B4:B10"/>
    <mergeCell ref="B11:B16"/>
    <mergeCell ref="B17:B23"/>
    <mergeCell ref="B24:B31"/>
    <mergeCell ref="B32:B38"/>
    <mergeCell ref="B39:B46"/>
    <mergeCell ref="B47:B52"/>
    <mergeCell ref="B53:B59"/>
    <mergeCell ref="B60:B62"/>
    <mergeCell ref="B63:B65"/>
    <mergeCell ref="B66:B69"/>
    <mergeCell ref="B70:B72"/>
    <mergeCell ref="B73:B75"/>
    <mergeCell ref="B76:B80"/>
    <mergeCell ref="B81:B87"/>
    <mergeCell ref="B88:B93"/>
    <mergeCell ref="B94:B100"/>
    <mergeCell ref="B101:B108"/>
    <mergeCell ref="B109:B115"/>
    <mergeCell ref="B116:B123"/>
    <mergeCell ref="B124:B130"/>
    <mergeCell ref="B131:B137"/>
    <mergeCell ref="B138:B144"/>
    <mergeCell ref="B145:B150"/>
    <mergeCell ref="B151:B153"/>
    <mergeCell ref="B154:B157"/>
    <mergeCell ref="B158:B160"/>
    <mergeCell ref="B161:B164"/>
    <mergeCell ref="B165:B171"/>
    <mergeCell ref="B172:B177"/>
    <mergeCell ref="B178:B183"/>
    <mergeCell ref="B184:B189"/>
    <mergeCell ref="B190:B197"/>
    <mergeCell ref="B198:B204"/>
    <mergeCell ref="B205:B209"/>
    <mergeCell ref="B210:B212"/>
    <mergeCell ref="B213:B220"/>
    <mergeCell ref="C2:C3"/>
    <mergeCell ref="C4:C10"/>
    <mergeCell ref="C11:C16"/>
    <mergeCell ref="C17:C23"/>
    <mergeCell ref="C24:C31"/>
    <mergeCell ref="C32:C38"/>
    <mergeCell ref="C39:C46"/>
    <mergeCell ref="C47:C52"/>
    <mergeCell ref="C53:C59"/>
    <mergeCell ref="C60:C62"/>
    <mergeCell ref="C63:C65"/>
    <mergeCell ref="C66:C69"/>
    <mergeCell ref="C70:C72"/>
    <mergeCell ref="C73:C75"/>
    <mergeCell ref="C76:C80"/>
    <mergeCell ref="C81:C87"/>
    <mergeCell ref="C88:C93"/>
    <mergeCell ref="C94:C100"/>
    <mergeCell ref="C101:C108"/>
    <mergeCell ref="C109:C115"/>
    <mergeCell ref="C116:C123"/>
    <mergeCell ref="C124:C130"/>
    <mergeCell ref="C131:C137"/>
    <mergeCell ref="C138:C144"/>
    <mergeCell ref="C145:C150"/>
    <mergeCell ref="C151:C153"/>
    <mergeCell ref="C154:C157"/>
    <mergeCell ref="C158:C160"/>
    <mergeCell ref="C161:C164"/>
    <mergeCell ref="C165:C171"/>
    <mergeCell ref="C172:C177"/>
    <mergeCell ref="C178:C183"/>
    <mergeCell ref="C184:C189"/>
    <mergeCell ref="C190:C197"/>
    <mergeCell ref="C198:C204"/>
    <mergeCell ref="C205:C209"/>
    <mergeCell ref="C210:C212"/>
    <mergeCell ref="C213:C220"/>
    <mergeCell ref="D2:D3"/>
    <mergeCell ref="D4:D10"/>
    <mergeCell ref="D11:D16"/>
    <mergeCell ref="D17:D23"/>
    <mergeCell ref="D24:D31"/>
    <mergeCell ref="D32:D38"/>
    <mergeCell ref="D39:D46"/>
    <mergeCell ref="D47:D52"/>
    <mergeCell ref="D53:D59"/>
    <mergeCell ref="D60:D62"/>
    <mergeCell ref="D63:D65"/>
    <mergeCell ref="D66:D69"/>
    <mergeCell ref="D70:D72"/>
    <mergeCell ref="D73:D75"/>
    <mergeCell ref="D76:D80"/>
    <mergeCell ref="D81:D87"/>
    <mergeCell ref="D88:D93"/>
    <mergeCell ref="D94:D100"/>
    <mergeCell ref="D101:D108"/>
    <mergeCell ref="D109:D115"/>
    <mergeCell ref="D116:D123"/>
    <mergeCell ref="D124:D130"/>
    <mergeCell ref="D131:D137"/>
    <mergeCell ref="D138:D144"/>
    <mergeCell ref="D145:D150"/>
    <mergeCell ref="D151:D153"/>
    <mergeCell ref="D154:D157"/>
    <mergeCell ref="D158:D160"/>
    <mergeCell ref="D161:D164"/>
    <mergeCell ref="D165:D171"/>
    <mergeCell ref="D172:D177"/>
    <mergeCell ref="D178:D183"/>
    <mergeCell ref="D184:D189"/>
    <mergeCell ref="D190:D197"/>
    <mergeCell ref="D198:D204"/>
    <mergeCell ref="D205:D209"/>
    <mergeCell ref="D210:D212"/>
    <mergeCell ref="D213:D220"/>
    <mergeCell ref="E2:E3"/>
    <mergeCell ref="E4:E10"/>
    <mergeCell ref="E11:E16"/>
    <mergeCell ref="E17:E23"/>
    <mergeCell ref="E24:E31"/>
    <mergeCell ref="E32:E38"/>
    <mergeCell ref="E39:E46"/>
    <mergeCell ref="E47:E52"/>
    <mergeCell ref="E53:E59"/>
    <mergeCell ref="E60:E62"/>
    <mergeCell ref="E63:E65"/>
    <mergeCell ref="E66:E69"/>
    <mergeCell ref="E70:E72"/>
    <mergeCell ref="E73:E75"/>
    <mergeCell ref="E76:E80"/>
    <mergeCell ref="E81:E87"/>
    <mergeCell ref="E88:E93"/>
    <mergeCell ref="E94:E100"/>
    <mergeCell ref="E101:E108"/>
    <mergeCell ref="E109:E115"/>
    <mergeCell ref="E116:E123"/>
    <mergeCell ref="E124:E130"/>
    <mergeCell ref="E131:E137"/>
    <mergeCell ref="E138:E144"/>
    <mergeCell ref="E145:E150"/>
    <mergeCell ref="E151:E153"/>
    <mergeCell ref="E154:E157"/>
    <mergeCell ref="E158:E160"/>
    <mergeCell ref="E161:E164"/>
    <mergeCell ref="E165:E171"/>
    <mergeCell ref="E172:E177"/>
    <mergeCell ref="E178:E183"/>
    <mergeCell ref="E184:E189"/>
    <mergeCell ref="E190:E197"/>
    <mergeCell ref="E198:E204"/>
    <mergeCell ref="E205:E209"/>
    <mergeCell ref="E210:E212"/>
    <mergeCell ref="E213:E220"/>
  </mergeCells>
  <printOptions horizontalCentered="1"/>
  <pageMargins left="0.747916666666667" right="0.747916666666667" top="0.786805555555556" bottom="0.786805555555556" header="0.511805555555556" footer="0.511805555555556"/>
  <pageSetup paperSize="9" scale="84" orientation="portrait" horizontalDpi="600"/>
  <headerFooter alignWithMargins="0">
    <oddFooter>&amp;C第 &amp;P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V31"/>
  <sheetViews>
    <sheetView view="pageBreakPreview" zoomScaleNormal="100" workbookViewId="0">
      <pane ySplit="5" topLeftCell="A8" activePane="bottomLeft" state="frozen"/>
      <selection/>
      <selection pane="bottomLeft" activeCell="D17" sqref="D17"/>
    </sheetView>
  </sheetViews>
  <sheetFormatPr defaultColWidth="9" defaultRowHeight="13.5"/>
  <cols>
    <col min="1" max="1" width="6.1" style="92" customWidth="1"/>
    <col min="2" max="2" width="12.9" style="92" customWidth="1"/>
    <col min="3" max="3" width="18.5" style="92" customWidth="1"/>
    <col min="4" max="4" width="6.6" style="92" customWidth="1"/>
    <col min="5" max="5" width="9.5" style="93" customWidth="1"/>
    <col min="6" max="6" width="10.2" style="93" customWidth="1"/>
    <col min="7" max="7" width="9.7" style="93" customWidth="1"/>
    <col min="8" max="8" width="9.6" style="93" customWidth="1"/>
    <col min="9" max="9" width="9.1" style="93" customWidth="1"/>
    <col min="10" max="10" width="9.9" style="93" customWidth="1"/>
    <col min="11" max="15" width="9.1" style="93" customWidth="1"/>
    <col min="16" max="16" width="9.6" style="93" customWidth="1"/>
    <col min="17" max="16384" width="9" style="94"/>
  </cols>
  <sheetData>
    <row r="1" ht="22.5" customHeight="1" spans="1:16">
      <c r="A1" s="95" t="s">
        <v>131</v>
      </c>
      <c r="B1" s="95"/>
      <c r="C1" s="96" t="s">
        <v>132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ht="32.25" customHeight="1" spans="1:16">
      <c r="A2" s="97" t="e">
        <f>#REF!</f>
        <v>#REF!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13" t="e">
        <f>#REF!</f>
        <v>#REF!</v>
      </c>
      <c r="P2" s="113"/>
    </row>
    <row r="3" ht="14.25" customHeight="1" spans="1:22">
      <c r="A3" s="98" t="s">
        <v>59</v>
      </c>
      <c r="B3" s="98" t="s">
        <v>133</v>
      </c>
      <c r="C3" s="98" t="s">
        <v>134</v>
      </c>
      <c r="D3" s="98" t="s">
        <v>63</v>
      </c>
      <c r="E3" s="99" t="s">
        <v>135</v>
      </c>
      <c r="F3" s="99"/>
      <c r="G3" s="99"/>
      <c r="H3" s="99"/>
      <c r="I3" s="99"/>
      <c r="J3" s="99"/>
      <c r="K3" s="100" t="s">
        <v>136</v>
      </c>
      <c r="L3" s="100" t="s">
        <v>137</v>
      </c>
      <c r="M3" s="100" t="s">
        <v>138</v>
      </c>
      <c r="N3" s="100" t="s">
        <v>139</v>
      </c>
      <c r="O3" s="100" t="s">
        <v>140</v>
      </c>
      <c r="P3" s="100" t="s">
        <v>141</v>
      </c>
      <c r="Q3" s="114" t="s">
        <v>142</v>
      </c>
      <c r="R3" s="114" t="s">
        <v>143</v>
      </c>
      <c r="S3" s="114" t="s">
        <v>144</v>
      </c>
      <c r="T3" s="115"/>
      <c r="U3" s="115"/>
      <c r="V3" s="114" t="s">
        <v>140</v>
      </c>
    </row>
    <row r="4" ht="27" spans="1:22">
      <c r="A4" s="98"/>
      <c r="B4" s="98"/>
      <c r="C4" s="98"/>
      <c r="D4" s="98"/>
      <c r="E4" s="100" t="s">
        <v>145</v>
      </c>
      <c r="F4" s="100" t="s">
        <v>146</v>
      </c>
      <c r="G4" s="100" t="s">
        <v>147</v>
      </c>
      <c r="H4" s="100" t="s">
        <v>148</v>
      </c>
      <c r="I4" s="100" t="s">
        <v>149</v>
      </c>
      <c r="J4" s="100" t="s">
        <v>150</v>
      </c>
      <c r="K4" s="100"/>
      <c r="L4" s="100"/>
      <c r="M4" s="100"/>
      <c r="N4" s="100"/>
      <c r="O4" s="100"/>
      <c r="P4" s="100"/>
      <c r="Q4" s="116"/>
      <c r="R4" s="114"/>
      <c r="S4" s="114"/>
      <c r="T4" s="115"/>
      <c r="U4" s="115"/>
      <c r="V4" s="114"/>
    </row>
    <row r="5" ht="19.5" customHeight="1" spans="1:22">
      <c r="A5" s="98"/>
      <c r="B5" s="98" t="s">
        <v>151</v>
      </c>
      <c r="C5" s="98" t="s">
        <v>152</v>
      </c>
      <c r="D5" s="98" t="s">
        <v>153</v>
      </c>
      <c r="E5" s="100" t="s">
        <v>154</v>
      </c>
      <c r="F5" s="100" t="s">
        <v>155</v>
      </c>
      <c r="G5" s="100" t="s">
        <v>156</v>
      </c>
      <c r="H5" s="100" t="s">
        <v>157</v>
      </c>
      <c r="I5" s="100" t="s">
        <v>158</v>
      </c>
      <c r="J5" s="100" t="s">
        <v>159</v>
      </c>
      <c r="K5" s="100" t="s">
        <v>160</v>
      </c>
      <c r="L5" s="100" t="s">
        <v>161</v>
      </c>
      <c r="M5" s="100" t="s">
        <v>162</v>
      </c>
      <c r="N5" s="100" t="s">
        <v>163</v>
      </c>
      <c r="O5" s="100" t="s">
        <v>164</v>
      </c>
      <c r="P5" s="100" t="s">
        <v>165</v>
      </c>
      <c r="Q5" s="117" t="s">
        <v>151</v>
      </c>
      <c r="R5" s="117" t="s">
        <v>153</v>
      </c>
      <c r="S5" s="117" t="s">
        <v>154</v>
      </c>
      <c r="T5" s="115"/>
      <c r="U5" s="115"/>
      <c r="V5" s="115"/>
    </row>
    <row r="6" ht="25.5" customHeight="1" spans="1:22">
      <c r="A6" s="101" t="s">
        <v>166</v>
      </c>
      <c r="B6" s="101" t="s">
        <v>167</v>
      </c>
      <c r="C6" s="101"/>
      <c r="D6" s="101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18"/>
      <c r="R6" s="118"/>
      <c r="S6" s="118"/>
      <c r="T6" s="115"/>
      <c r="U6" s="115"/>
      <c r="V6" s="115"/>
    </row>
    <row r="7" ht="25.5" hidden="1" customHeight="1" spans="1:22">
      <c r="A7" s="98">
        <v>1</v>
      </c>
      <c r="B7" s="98">
        <v>10279</v>
      </c>
      <c r="C7" s="103" t="s">
        <v>168</v>
      </c>
      <c r="D7" s="103" t="s">
        <v>169</v>
      </c>
      <c r="E7" s="100" t="e">
        <f>E10</f>
        <v>#REF!</v>
      </c>
      <c r="F7" s="100">
        <f t="shared" ref="F7:P7" si="0">F10</f>
        <v>0</v>
      </c>
      <c r="G7" s="100" t="e">
        <f t="shared" si="0"/>
        <v>#REF!</v>
      </c>
      <c r="H7" s="100" t="e">
        <f t="shared" si="0"/>
        <v>#REF!</v>
      </c>
      <c r="I7" s="100" t="e">
        <f t="shared" si="0"/>
        <v>#REF!</v>
      </c>
      <c r="J7" s="100" t="e">
        <f t="shared" si="0"/>
        <v>#REF!</v>
      </c>
      <c r="K7" s="100" t="e">
        <f t="shared" si="0"/>
        <v>#REF!</v>
      </c>
      <c r="L7" s="100" t="e">
        <f t="shared" si="0"/>
        <v>#REF!</v>
      </c>
      <c r="M7" s="100" t="e">
        <f t="shared" si="0"/>
        <v>#REF!</v>
      </c>
      <c r="N7" s="100">
        <f t="shared" si="0"/>
        <v>0</v>
      </c>
      <c r="O7" s="100" t="e">
        <f t="shared" si="0"/>
        <v>#REF!</v>
      </c>
      <c r="P7" s="100" t="e">
        <f t="shared" si="0"/>
        <v>#REF!</v>
      </c>
      <c r="Q7" s="119"/>
      <c r="R7" s="119"/>
      <c r="S7" s="119"/>
      <c r="T7" s="115"/>
      <c r="U7" s="115"/>
      <c r="V7" s="115"/>
    </row>
    <row r="8" ht="25.5" customHeight="1" spans="1:22">
      <c r="A8" s="98">
        <v>1</v>
      </c>
      <c r="B8" s="98">
        <f>B11</f>
        <v>10305</v>
      </c>
      <c r="C8" s="103" t="s">
        <v>170</v>
      </c>
      <c r="D8" s="103" t="s">
        <v>169</v>
      </c>
      <c r="E8" s="100" t="e">
        <f>E11</f>
        <v>#REF!</v>
      </c>
      <c r="F8" s="100">
        <f t="shared" ref="F8:P8" si="1">F11</f>
        <v>0</v>
      </c>
      <c r="G8" s="100" t="e">
        <f t="shared" si="1"/>
        <v>#REF!</v>
      </c>
      <c r="H8" s="100" t="e">
        <f t="shared" si="1"/>
        <v>#REF!</v>
      </c>
      <c r="I8" s="100" t="e">
        <f t="shared" si="1"/>
        <v>#REF!</v>
      </c>
      <c r="J8" s="100" t="e">
        <f t="shared" si="1"/>
        <v>#REF!</v>
      </c>
      <c r="K8" s="100" t="e">
        <f t="shared" si="1"/>
        <v>#REF!</v>
      </c>
      <c r="L8" s="100" t="e">
        <f t="shared" si="1"/>
        <v>#REF!</v>
      </c>
      <c r="M8" s="100" t="e">
        <f t="shared" si="1"/>
        <v>#REF!</v>
      </c>
      <c r="N8" s="100">
        <f t="shared" si="1"/>
        <v>0</v>
      </c>
      <c r="O8" s="100" t="e">
        <f t="shared" si="1"/>
        <v>#REF!</v>
      </c>
      <c r="P8" s="100" t="e">
        <f t="shared" si="1"/>
        <v>#REF!</v>
      </c>
      <c r="Q8" s="119"/>
      <c r="R8" s="119"/>
      <c r="S8" s="119"/>
      <c r="T8" s="115"/>
      <c r="U8" s="115"/>
      <c r="V8" s="115"/>
    </row>
    <row r="9" ht="25.5" hidden="1" customHeight="1" spans="1:22">
      <c r="A9" s="98">
        <v>3</v>
      </c>
      <c r="B9" s="98">
        <v>30071</v>
      </c>
      <c r="C9" s="103" t="s">
        <v>171</v>
      </c>
      <c r="D9" s="103" t="s">
        <v>169</v>
      </c>
      <c r="E9" s="100" t="e">
        <f>#REF!</f>
        <v>#REF!</v>
      </c>
      <c r="F9" s="100">
        <v>0</v>
      </c>
      <c r="G9" s="100">
        <v>0</v>
      </c>
      <c r="H9" s="100" t="e">
        <f>E9+F9+G9</f>
        <v>#REF!</v>
      </c>
      <c r="I9" s="100" t="e">
        <f>#REF!</f>
        <v>#REF!</v>
      </c>
      <c r="J9" s="100" t="e">
        <f>I9+H9</f>
        <v>#REF!</v>
      </c>
      <c r="K9" s="100" t="e">
        <f>#REF!</f>
        <v>#REF!</v>
      </c>
      <c r="L9" s="100" t="e">
        <f>#REF!</f>
        <v>#REF!</v>
      </c>
      <c r="M9" s="100">
        <v>0</v>
      </c>
      <c r="N9" s="100">
        <v>0</v>
      </c>
      <c r="O9" s="100" t="e">
        <f>#REF!</f>
        <v>#REF!</v>
      </c>
      <c r="P9" s="100" t="e">
        <f>ROUND((J9+K9+L9+O9+M9+N9),2)</f>
        <v>#REF!</v>
      </c>
      <c r="Q9" s="118"/>
      <c r="R9" s="118"/>
      <c r="S9" s="118"/>
      <c r="T9" s="115"/>
      <c r="U9" s="115"/>
      <c r="V9" s="115"/>
    </row>
    <row r="10" ht="25.5" hidden="1" customHeight="1" spans="1:22">
      <c r="A10" s="98">
        <v>4</v>
      </c>
      <c r="B10" s="98">
        <v>10279</v>
      </c>
      <c r="C10" s="103" t="s">
        <v>172</v>
      </c>
      <c r="D10" s="103" t="s">
        <v>169</v>
      </c>
      <c r="E10" s="100" t="e">
        <f>#REF!</f>
        <v>#REF!</v>
      </c>
      <c r="F10" s="100">
        <v>0</v>
      </c>
      <c r="G10" s="100" t="e">
        <f>#REF!</f>
        <v>#REF!</v>
      </c>
      <c r="H10" s="100" t="e">
        <f>E10+F10+G10</f>
        <v>#REF!</v>
      </c>
      <c r="I10" s="100" t="e">
        <f>#REF!</f>
        <v>#REF!</v>
      </c>
      <c r="J10" s="100" t="e">
        <f>I10+H10</f>
        <v>#REF!</v>
      </c>
      <c r="K10" s="100" t="e">
        <f>#REF!</f>
        <v>#REF!</v>
      </c>
      <c r="L10" s="100" t="e">
        <f>#REF!</f>
        <v>#REF!</v>
      </c>
      <c r="M10" s="100" t="e">
        <f>#REF!</f>
        <v>#REF!</v>
      </c>
      <c r="N10" s="100">
        <v>0</v>
      </c>
      <c r="O10" s="100" t="e">
        <f>#REF!</f>
        <v>#REF!</v>
      </c>
      <c r="P10" s="100" t="e">
        <f>ROUND((J10+K10+L10+O10+M10+N10),2)</f>
        <v>#REF!</v>
      </c>
      <c r="Q10" s="118"/>
      <c r="R10" s="118"/>
      <c r="S10" s="118"/>
      <c r="T10" s="115"/>
      <c r="U10" s="115"/>
      <c r="V10" s="115"/>
    </row>
    <row r="11" ht="25.5" customHeight="1" spans="1:22">
      <c r="A11" s="98">
        <v>2</v>
      </c>
      <c r="B11" s="98">
        <v>10305</v>
      </c>
      <c r="C11" s="103" t="s">
        <v>173</v>
      </c>
      <c r="D11" s="103" t="s">
        <v>169</v>
      </c>
      <c r="E11" s="100" t="e">
        <f>#REF!</f>
        <v>#REF!</v>
      </c>
      <c r="F11" s="100">
        <v>0</v>
      </c>
      <c r="G11" s="100" t="e">
        <f>#REF!</f>
        <v>#REF!</v>
      </c>
      <c r="H11" s="100" t="e">
        <f>E11+F11+G11</f>
        <v>#REF!</v>
      </c>
      <c r="I11" s="100" t="e">
        <f>#REF!</f>
        <v>#REF!</v>
      </c>
      <c r="J11" s="100" t="e">
        <f>I11+H11</f>
        <v>#REF!</v>
      </c>
      <c r="K11" s="100" t="e">
        <f>#REF!</f>
        <v>#REF!</v>
      </c>
      <c r="L11" s="100" t="e">
        <f>#REF!</f>
        <v>#REF!</v>
      </c>
      <c r="M11" s="100" t="e">
        <f>#REF!</f>
        <v>#REF!</v>
      </c>
      <c r="N11" s="100">
        <v>0</v>
      </c>
      <c r="O11" s="100" t="e">
        <f>#REF!</f>
        <v>#REF!</v>
      </c>
      <c r="P11" s="100" t="e">
        <f>ROUND((J11+K11+L11+O11+M11+N11),2)</f>
        <v>#REF!</v>
      </c>
      <c r="Q11" s="119"/>
      <c r="R11" s="119"/>
      <c r="S11" s="119"/>
      <c r="T11" s="115"/>
      <c r="U11" s="115"/>
      <c r="V11" s="115"/>
    </row>
    <row r="12" ht="25.5" hidden="1" customHeight="1" spans="1:22">
      <c r="A12" s="98">
        <v>6</v>
      </c>
      <c r="B12" s="104" t="s">
        <v>174</v>
      </c>
      <c r="C12" s="105" t="s">
        <v>175</v>
      </c>
      <c r="D12" s="106" t="s">
        <v>176</v>
      </c>
      <c r="E12" s="107" t="e">
        <f>#REF!</f>
        <v>#REF!</v>
      </c>
      <c r="F12" s="107">
        <f>0</f>
        <v>0</v>
      </c>
      <c r="G12" s="107" t="e">
        <f>#REF!</f>
        <v>#REF!</v>
      </c>
      <c r="H12" s="100" t="e">
        <f>E12+F12+G12</f>
        <v>#REF!</v>
      </c>
      <c r="I12" s="107" t="e">
        <f>#REF!</f>
        <v>#REF!</v>
      </c>
      <c r="J12" s="100" t="e">
        <f>I12+H12</f>
        <v>#REF!</v>
      </c>
      <c r="K12" s="107" t="e">
        <f>#REF!</f>
        <v>#REF!</v>
      </c>
      <c r="L12" s="107" t="e">
        <f>#REF!</f>
        <v>#REF!</v>
      </c>
      <c r="M12" s="107">
        <v>0</v>
      </c>
      <c r="N12" s="107">
        <f>0</f>
        <v>0</v>
      </c>
      <c r="O12" s="107" t="e">
        <f>#REF!</f>
        <v>#REF!</v>
      </c>
      <c r="P12" s="100" t="e">
        <f>ROUND((J12+K12+L12+O12+M12+N12),2)</f>
        <v>#REF!</v>
      </c>
      <c r="Q12" s="119"/>
      <c r="R12" s="119"/>
      <c r="S12" s="119"/>
      <c r="T12" s="115"/>
      <c r="U12" s="115"/>
      <c r="V12" s="115"/>
    </row>
    <row r="13" ht="25.5" customHeight="1" spans="1:22">
      <c r="A13" s="98" t="s">
        <v>177</v>
      </c>
      <c r="B13" s="101" t="s">
        <v>178</v>
      </c>
      <c r="C13" s="101"/>
      <c r="D13" s="98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19"/>
      <c r="R13" s="119"/>
      <c r="S13" s="119"/>
      <c r="T13" s="115"/>
      <c r="U13" s="115"/>
      <c r="V13" s="115"/>
    </row>
    <row r="14" ht="25.5" customHeight="1" spans="1:22">
      <c r="A14" s="108" t="s">
        <v>179</v>
      </c>
      <c r="B14" s="108" t="s">
        <v>180</v>
      </c>
      <c r="C14" s="108"/>
      <c r="D14" s="104"/>
      <c r="E14" s="109"/>
      <c r="F14" s="109"/>
      <c r="G14" s="109"/>
      <c r="H14" s="100"/>
      <c r="I14" s="109"/>
      <c r="J14" s="100"/>
      <c r="K14" s="109"/>
      <c r="L14" s="109"/>
      <c r="M14" s="109"/>
      <c r="N14" s="109"/>
      <c r="O14" s="109"/>
      <c r="P14" s="100"/>
      <c r="Q14" s="119"/>
      <c r="R14" s="119"/>
      <c r="S14" s="119"/>
      <c r="T14" s="115"/>
      <c r="U14" s="115"/>
      <c r="V14" s="115"/>
    </row>
    <row r="15" ht="25.5" customHeight="1" spans="1:22">
      <c r="A15" s="104" t="s">
        <v>15</v>
      </c>
      <c r="B15" s="104" t="s">
        <v>181</v>
      </c>
      <c r="C15" s="105" t="s">
        <v>182</v>
      </c>
      <c r="D15" s="104" t="s">
        <v>183</v>
      </c>
      <c r="E15" s="107" t="e">
        <f>#REF!+#REF!*2</f>
        <v>#REF!</v>
      </c>
      <c r="F15" s="107">
        <v>0</v>
      </c>
      <c r="G15" s="107" t="e">
        <f>#REF!</f>
        <v>#REF!</v>
      </c>
      <c r="H15" s="100" t="e">
        <f>E15+F15+G15</f>
        <v>#REF!</v>
      </c>
      <c r="I15" s="107" t="e">
        <f>#REF!+#REF!*2</f>
        <v>#REF!</v>
      </c>
      <c r="J15" s="100" t="e">
        <f>I15+H15</f>
        <v>#REF!</v>
      </c>
      <c r="K15" s="107" t="e">
        <f>#REF!+#REF!*2</f>
        <v>#REF!</v>
      </c>
      <c r="L15" s="107" t="e">
        <f>#REF!+#REF!*2</f>
        <v>#REF!</v>
      </c>
      <c r="M15" s="107" t="e">
        <f>#REF!</f>
        <v>#REF!</v>
      </c>
      <c r="N15" s="107">
        <v>0</v>
      </c>
      <c r="O15" s="107" t="e">
        <f>#REF!+#REF!*2</f>
        <v>#REF!</v>
      </c>
      <c r="P15" s="100" t="e">
        <f>ROUND((J15+K15+L15+O15+M15+N15),2)</f>
        <v>#REF!</v>
      </c>
      <c r="Q15" s="119"/>
      <c r="R15" s="119"/>
      <c r="S15" s="119"/>
      <c r="T15" s="115"/>
      <c r="U15" s="115"/>
      <c r="V15" s="115"/>
    </row>
    <row r="16" ht="25.5" customHeight="1" spans="1:22">
      <c r="A16" s="104" t="s">
        <v>22</v>
      </c>
      <c r="B16" s="104" t="s">
        <v>184</v>
      </c>
      <c r="C16" s="105" t="s">
        <v>185</v>
      </c>
      <c r="D16" s="104" t="s">
        <v>183</v>
      </c>
      <c r="E16" s="107" t="e">
        <f>#REF!+#REF!*10</f>
        <v>#REF!</v>
      </c>
      <c r="F16" s="107" t="e">
        <f>#REF!+#REF!*10</f>
        <v>#REF!</v>
      </c>
      <c r="G16" s="107" t="e">
        <f>#REF!</f>
        <v>#REF!</v>
      </c>
      <c r="H16" s="100" t="e">
        <f>E16+F16+G16</f>
        <v>#REF!</v>
      </c>
      <c r="I16" s="107" t="e">
        <f>#REF!+#REF!*10</f>
        <v>#REF!</v>
      </c>
      <c r="J16" s="100" t="e">
        <f>I16+H16</f>
        <v>#REF!</v>
      </c>
      <c r="K16" s="107" t="e">
        <f>#REF!+#REF!*10</f>
        <v>#REF!</v>
      </c>
      <c r="L16" s="107" t="e">
        <f>#REF!+#REF!*10</f>
        <v>#REF!</v>
      </c>
      <c r="M16" s="107" t="e">
        <f>#REF!</f>
        <v>#REF!</v>
      </c>
      <c r="N16" s="107">
        <v>0</v>
      </c>
      <c r="O16" s="107" t="e">
        <f>#REF!+#REF!*10</f>
        <v>#REF!</v>
      </c>
      <c r="P16" s="100" t="e">
        <f>ROUND((J16+K16+L16+O16+M16+N16),2)</f>
        <v>#REF!</v>
      </c>
      <c r="Q16" s="119"/>
      <c r="R16" s="119"/>
      <c r="S16" s="119"/>
      <c r="T16" s="115"/>
      <c r="U16" s="115"/>
      <c r="V16" s="115"/>
    </row>
    <row r="17" ht="25.5" customHeight="1" spans="1:22">
      <c r="A17" s="108" t="s">
        <v>186</v>
      </c>
      <c r="B17" s="108" t="s">
        <v>187</v>
      </c>
      <c r="C17" s="108"/>
      <c r="D17" s="104"/>
      <c r="E17" s="107"/>
      <c r="F17" s="107"/>
      <c r="G17" s="107"/>
      <c r="H17" s="100"/>
      <c r="I17" s="107"/>
      <c r="J17" s="100"/>
      <c r="K17" s="107"/>
      <c r="L17" s="107"/>
      <c r="M17" s="107"/>
      <c r="N17" s="107"/>
      <c r="O17" s="107"/>
      <c r="P17" s="100"/>
      <c r="Q17" s="119"/>
      <c r="R17" s="119"/>
      <c r="S17" s="119"/>
      <c r="T17" s="115"/>
      <c r="U17" s="115"/>
      <c r="V17" s="115"/>
    </row>
    <row r="18" ht="25.5" customHeight="1" spans="1:22">
      <c r="A18" s="104">
        <v>1</v>
      </c>
      <c r="B18" s="104" t="s">
        <v>188</v>
      </c>
      <c r="C18" s="105" t="s">
        <v>189</v>
      </c>
      <c r="D18" s="104" t="s">
        <v>183</v>
      </c>
      <c r="E18" s="107" t="e">
        <f>E15</f>
        <v>#REF!</v>
      </c>
      <c r="F18" s="107">
        <f t="shared" ref="F18:P18" si="2">F15</f>
        <v>0</v>
      </c>
      <c r="G18" s="107" t="e">
        <f t="shared" si="2"/>
        <v>#REF!</v>
      </c>
      <c r="H18" s="107" t="e">
        <f t="shared" si="2"/>
        <v>#REF!</v>
      </c>
      <c r="I18" s="107" t="e">
        <f t="shared" si="2"/>
        <v>#REF!</v>
      </c>
      <c r="J18" s="107" t="e">
        <f t="shared" si="2"/>
        <v>#REF!</v>
      </c>
      <c r="K18" s="107" t="e">
        <f t="shared" si="2"/>
        <v>#REF!</v>
      </c>
      <c r="L18" s="107" t="e">
        <f t="shared" si="2"/>
        <v>#REF!</v>
      </c>
      <c r="M18" s="107" t="e">
        <f t="shared" si="2"/>
        <v>#REF!</v>
      </c>
      <c r="N18" s="107">
        <f t="shared" si="2"/>
        <v>0</v>
      </c>
      <c r="O18" s="107" t="e">
        <f t="shared" si="2"/>
        <v>#REF!</v>
      </c>
      <c r="P18" s="107" t="e">
        <f t="shared" si="2"/>
        <v>#REF!</v>
      </c>
      <c r="Q18" s="119"/>
      <c r="R18" s="119"/>
      <c r="S18" s="119"/>
      <c r="T18" s="115"/>
      <c r="U18" s="115"/>
      <c r="V18" s="115"/>
    </row>
    <row r="19" ht="25.5" customHeight="1" spans="1:22">
      <c r="A19" s="101" t="s">
        <v>190</v>
      </c>
      <c r="B19" s="101" t="s">
        <v>191</v>
      </c>
      <c r="C19" s="101"/>
      <c r="D19" s="110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19"/>
      <c r="R19" s="119"/>
      <c r="S19" s="119"/>
      <c r="T19" s="115"/>
      <c r="U19" s="115"/>
      <c r="V19" s="115"/>
    </row>
    <row r="20" ht="25.5" customHeight="1" spans="1:22">
      <c r="A20" s="108" t="s">
        <v>179</v>
      </c>
      <c r="B20" s="101" t="s">
        <v>192</v>
      </c>
      <c r="C20" s="101"/>
      <c r="D20" s="106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19"/>
      <c r="R20" s="119"/>
      <c r="S20" s="119"/>
      <c r="T20" s="115"/>
      <c r="U20" s="115"/>
      <c r="V20" s="115"/>
    </row>
    <row r="21" ht="37.5" customHeight="1" spans="1:22">
      <c r="A21" s="101">
        <v>1</v>
      </c>
      <c r="B21" s="98">
        <v>90007</v>
      </c>
      <c r="C21" s="98" t="s">
        <v>192</v>
      </c>
      <c r="D21" s="106" t="s">
        <v>193</v>
      </c>
      <c r="E21" s="100" t="e">
        <f>#REF!</f>
        <v>#REF!</v>
      </c>
      <c r="F21" s="100" t="e">
        <f>#REF!</f>
        <v>#REF!</v>
      </c>
      <c r="G21" s="100">
        <v>0</v>
      </c>
      <c r="H21" s="100" t="e">
        <f>E21+F21+G21</f>
        <v>#REF!</v>
      </c>
      <c r="I21" s="100" t="e">
        <f>#REF!</f>
        <v>#REF!</v>
      </c>
      <c r="J21" s="100" t="e">
        <f>I21+H21</f>
        <v>#REF!</v>
      </c>
      <c r="K21" s="100" t="e">
        <f>#REF!</f>
        <v>#REF!</v>
      </c>
      <c r="L21" s="100" t="e">
        <f>#REF!</f>
        <v>#REF!</v>
      </c>
      <c r="M21" s="100">
        <v>0</v>
      </c>
      <c r="N21" s="100">
        <v>0</v>
      </c>
      <c r="O21" s="100" t="e">
        <f>#REF!</f>
        <v>#REF!</v>
      </c>
      <c r="P21" s="100" t="e">
        <f>ROUND((J21+K21+L21+O21+M21+N21),2)</f>
        <v>#REF!</v>
      </c>
      <c r="Q21" s="119"/>
      <c r="R21" s="119"/>
      <c r="S21" s="119"/>
      <c r="T21" s="115"/>
      <c r="U21" s="115"/>
      <c r="V21" s="115"/>
    </row>
    <row r="22" ht="25.5" customHeight="1" spans="1:22">
      <c r="A22" s="108" t="s">
        <v>186</v>
      </c>
      <c r="B22" s="101" t="s">
        <v>194</v>
      </c>
      <c r="C22" s="101"/>
      <c r="D22" s="106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19"/>
      <c r="R22" s="119"/>
      <c r="S22" s="119"/>
      <c r="T22" s="115"/>
      <c r="U22" s="115"/>
      <c r="V22" s="115"/>
    </row>
    <row r="23" ht="25.5" customHeight="1" spans="1:22">
      <c r="A23" s="101">
        <v>1</v>
      </c>
      <c r="B23" s="98">
        <v>90019</v>
      </c>
      <c r="C23" s="98" t="s">
        <v>194</v>
      </c>
      <c r="D23" s="106" t="s">
        <v>193</v>
      </c>
      <c r="E23" s="100" t="e">
        <f>#REF!</f>
        <v>#REF!</v>
      </c>
      <c r="F23" s="100" t="e">
        <f>#REF!</f>
        <v>#REF!</v>
      </c>
      <c r="G23" s="100">
        <f>G21</f>
        <v>0</v>
      </c>
      <c r="H23" s="100" t="e">
        <f>G23+F23+E23</f>
        <v>#REF!</v>
      </c>
      <c r="I23" s="100" t="e">
        <f>#REF!</f>
        <v>#REF!</v>
      </c>
      <c r="J23" s="100" t="e">
        <f>I23+H23</f>
        <v>#REF!</v>
      </c>
      <c r="K23" s="100" t="e">
        <f>#REF!</f>
        <v>#REF!</v>
      </c>
      <c r="L23" s="100" t="e">
        <f>#REF!</f>
        <v>#REF!</v>
      </c>
      <c r="M23" s="100">
        <f>M21</f>
        <v>0</v>
      </c>
      <c r="N23" s="100">
        <f>N21</f>
        <v>0</v>
      </c>
      <c r="O23" s="100" t="e">
        <f>#REF!</f>
        <v>#REF!</v>
      </c>
      <c r="P23" s="100" t="e">
        <f>ROUND((J23+K23+L23+O23+M23+N23),2)</f>
        <v>#REF!</v>
      </c>
      <c r="Q23" s="119"/>
      <c r="R23" s="119"/>
      <c r="S23" s="119"/>
      <c r="T23" s="115"/>
      <c r="U23" s="115"/>
      <c r="V23" s="115"/>
    </row>
    <row r="24" s="91" customFormat="1" ht="25.5" hidden="1" customHeight="1" spans="1:22">
      <c r="A24" s="108" t="s">
        <v>195</v>
      </c>
      <c r="B24" s="101" t="s">
        <v>196</v>
      </c>
      <c r="C24" s="101"/>
      <c r="D24" s="111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20"/>
      <c r="R24" s="120"/>
      <c r="S24" s="120"/>
      <c r="T24" s="121"/>
      <c r="U24" s="121"/>
      <c r="V24" s="121"/>
    </row>
    <row r="25" ht="25.5" hidden="1" customHeight="1" spans="1:22">
      <c r="A25" s="101">
        <v>1</v>
      </c>
      <c r="B25" s="98">
        <v>90037</v>
      </c>
      <c r="C25" s="98" t="s">
        <v>196</v>
      </c>
      <c r="D25" s="106" t="s">
        <v>176</v>
      </c>
      <c r="E25" s="100" t="e">
        <f>#REF!</f>
        <v>#REF!</v>
      </c>
      <c r="F25" s="100" t="e">
        <f>#REF!</f>
        <v>#REF!</v>
      </c>
      <c r="G25" s="100" t="e">
        <f>#REF!</f>
        <v>#REF!</v>
      </c>
      <c r="H25" s="100" t="e">
        <f>G25+F25+E25</f>
        <v>#REF!</v>
      </c>
      <c r="I25" s="100" t="e">
        <f>#REF!</f>
        <v>#REF!</v>
      </c>
      <c r="J25" s="100" t="e">
        <f>I25+H25</f>
        <v>#REF!</v>
      </c>
      <c r="K25" s="100" t="e">
        <f>#REF!</f>
        <v>#REF!</v>
      </c>
      <c r="L25" s="100" t="e">
        <f>#REF!</f>
        <v>#REF!</v>
      </c>
      <c r="M25" s="100">
        <v>0</v>
      </c>
      <c r="N25" s="100">
        <v>0</v>
      </c>
      <c r="O25" s="100" t="e">
        <f>#REF!</f>
        <v>#REF!</v>
      </c>
      <c r="P25" s="100" t="e">
        <f>ROUND((J25+K25+L25+O25+M25+N25),2)</f>
        <v>#REF!</v>
      </c>
      <c r="Q25" s="119"/>
      <c r="R25" s="119"/>
      <c r="S25" s="119"/>
      <c r="T25" s="115"/>
      <c r="U25" s="115"/>
      <c r="V25" s="115"/>
    </row>
    <row r="26" ht="25.5" customHeight="1" spans="1:22">
      <c r="A26" s="108" t="s">
        <v>195</v>
      </c>
      <c r="B26" s="101" t="s">
        <v>197</v>
      </c>
      <c r="C26" s="101"/>
      <c r="D26" s="106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19"/>
      <c r="R26" s="119"/>
      <c r="S26" s="119"/>
      <c r="T26" s="115"/>
      <c r="U26" s="115"/>
      <c r="V26" s="115"/>
    </row>
    <row r="27" ht="25.5" customHeight="1" spans="1:22">
      <c r="A27" s="101">
        <v>1</v>
      </c>
      <c r="B27" s="98" t="s">
        <v>198</v>
      </c>
      <c r="C27" s="98" t="s">
        <v>199</v>
      </c>
      <c r="D27" s="106" t="s">
        <v>176</v>
      </c>
      <c r="E27" s="100" t="e">
        <f>#REF!</f>
        <v>#REF!</v>
      </c>
      <c r="F27" s="100" t="e">
        <f>#REF!</f>
        <v>#REF!</v>
      </c>
      <c r="G27" s="100">
        <v>0</v>
      </c>
      <c r="H27" s="100" t="e">
        <f>SUM(E27:G27)</f>
        <v>#REF!</v>
      </c>
      <c r="I27" s="100" t="e">
        <f>#REF!</f>
        <v>#REF!</v>
      </c>
      <c r="J27" s="100" t="e">
        <f>I27+H27</f>
        <v>#REF!</v>
      </c>
      <c r="K27" s="100" t="e">
        <f>#REF!</f>
        <v>#REF!</v>
      </c>
      <c r="L27" s="100" t="e">
        <f>#REF!</f>
        <v>#REF!</v>
      </c>
      <c r="M27" s="100">
        <v>0</v>
      </c>
      <c r="N27" s="100">
        <v>0</v>
      </c>
      <c r="O27" s="100" t="e">
        <f>#REF!</f>
        <v>#REF!</v>
      </c>
      <c r="P27" s="100" t="e">
        <f>SUM(J27:O27)</f>
        <v>#REF!</v>
      </c>
      <c r="Q27" s="119"/>
      <c r="R27" s="119"/>
      <c r="S27" s="119"/>
      <c r="T27" s="115"/>
      <c r="U27" s="115"/>
      <c r="V27" s="115"/>
    </row>
    <row r="28" s="91" customFormat="1" ht="25.5" customHeight="1" spans="1:22">
      <c r="A28" s="101" t="s">
        <v>200</v>
      </c>
      <c r="B28" s="101" t="s">
        <v>201</v>
      </c>
      <c r="C28" s="101"/>
      <c r="D28" s="111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20"/>
      <c r="R28" s="120"/>
      <c r="S28" s="120"/>
      <c r="T28" s="121"/>
      <c r="U28" s="121"/>
      <c r="V28" s="121"/>
    </row>
    <row r="29" ht="25.5" customHeight="1" spans="1:22">
      <c r="A29" s="101">
        <v>1</v>
      </c>
      <c r="B29" s="98" t="s">
        <v>202</v>
      </c>
      <c r="C29" s="98" t="s">
        <v>203</v>
      </c>
      <c r="D29" s="103" t="s">
        <v>169</v>
      </c>
      <c r="E29" s="100" t="e">
        <f>#REF!</f>
        <v>#REF!</v>
      </c>
      <c r="F29" s="100" t="e">
        <f>#REF!</f>
        <v>#REF!</v>
      </c>
      <c r="G29" s="100">
        <v>0</v>
      </c>
      <c r="H29" s="100" t="e">
        <f>SUM(E29:G29)</f>
        <v>#REF!</v>
      </c>
      <c r="I29" s="100" t="e">
        <f>#REF!</f>
        <v>#REF!</v>
      </c>
      <c r="J29" s="100" t="e">
        <f>I29+H29</f>
        <v>#REF!</v>
      </c>
      <c r="K29" s="100" t="e">
        <f>#REF!</f>
        <v>#REF!</v>
      </c>
      <c r="L29" s="100" t="e">
        <f>#REF!</f>
        <v>#REF!</v>
      </c>
      <c r="M29" s="100">
        <v>0</v>
      </c>
      <c r="N29" s="100">
        <v>0</v>
      </c>
      <c r="O29" s="100" t="e">
        <f>#REF!</f>
        <v>#REF!</v>
      </c>
      <c r="P29" s="100" t="e">
        <f>SUM(J29:O29)</f>
        <v>#REF!</v>
      </c>
      <c r="Q29" s="119"/>
      <c r="R29" s="119"/>
      <c r="S29" s="119"/>
      <c r="T29" s="115"/>
      <c r="U29" s="115"/>
      <c r="V29" s="115"/>
    </row>
    <row r="30" ht="25.5" customHeight="1" spans="1:22">
      <c r="A30" s="112" t="s">
        <v>204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9"/>
      <c r="R30" s="119"/>
      <c r="S30" s="119"/>
      <c r="T30" s="115"/>
      <c r="U30" s="115"/>
      <c r="V30" s="115"/>
    </row>
    <row r="31" spans="17:19">
      <c r="Q31" s="122"/>
      <c r="R31" s="122"/>
      <c r="S31" s="122"/>
    </row>
  </sheetData>
  <mergeCells count="29">
    <mergeCell ref="A1:B1"/>
    <mergeCell ref="C1:P1"/>
    <mergeCell ref="A2:N2"/>
    <mergeCell ref="O2:P2"/>
    <mergeCell ref="E3:J3"/>
    <mergeCell ref="B6:C6"/>
    <mergeCell ref="B13:C13"/>
    <mergeCell ref="B14:C14"/>
    <mergeCell ref="B17:C17"/>
    <mergeCell ref="B19:C19"/>
    <mergeCell ref="B20:C20"/>
    <mergeCell ref="B22:C22"/>
    <mergeCell ref="B24:C24"/>
    <mergeCell ref="B26:C26"/>
    <mergeCell ref="B28:C28"/>
    <mergeCell ref="A30:P30"/>
    <mergeCell ref="A3:A5"/>
    <mergeCell ref="B3:B4"/>
    <mergeCell ref="C3:C4"/>
    <mergeCell ref="D3:D4"/>
    <mergeCell ref="K3:K4"/>
    <mergeCell ref="L3:L4"/>
    <mergeCell ref="M3:M4"/>
    <mergeCell ref="N3:N4"/>
    <mergeCell ref="O3:O4"/>
    <mergeCell ref="P3:P4"/>
    <mergeCell ref="R3:R4"/>
    <mergeCell ref="S3:S4"/>
    <mergeCell ref="V3:V4"/>
  </mergeCells>
  <printOptions horizontalCentered="1"/>
  <pageMargins left="0.75" right="0.75" top="0.98" bottom="0.98" header="0.51" footer="0.51"/>
  <pageSetup paperSize="9" scale="77" orientation="landscape" horizontalDpi="300" verticalDpi="300"/>
  <headerFooter alignWithMargins="0"/>
  <rowBreaks count="1" manualBreakCount="1">
    <brk id="21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view="pageBreakPreview" zoomScaleNormal="100" workbookViewId="0">
      <selection activeCell="G24" sqref="G24"/>
    </sheetView>
  </sheetViews>
  <sheetFormatPr defaultColWidth="9" defaultRowHeight="14.25"/>
  <cols>
    <col min="1" max="1" width="7.9" style="62" customWidth="1"/>
    <col min="2" max="2" width="5.5" style="62" customWidth="1"/>
    <col min="3" max="3" width="13.9" style="62" customWidth="1"/>
    <col min="4" max="4" width="11.9" style="62" customWidth="1"/>
    <col min="5" max="5" width="11.9" style="62" hidden="1" customWidth="1"/>
    <col min="6" max="9" width="11.9" style="62" customWidth="1"/>
    <col min="10" max="16" width="12.9" style="62" customWidth="1"/>
    <col min="17" max="18" width="12.7" style="62" customWidth="1"/>
    <col min="19" max="16384" width="9" style="62"/>
  </cols>
  <sheetData>
    <row r="1" ht="24.75" customHeight="1" spans="1:16">
      <c r="A1" s="63" t="s">
        <v>205</v>
      </c>
      <c r="B1" s="63"/>
      <c r="C1" s="64" t="s">
        <v>206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ht="12" customHeight="1" spans="1:16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ht="24" customHeight="1" spans="1:16">
      <c r="A3" s="65" t="e">
        <f>#REF!</f>
        <v>#REF!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ht="20.25" customHeight="1" spans="1:16">
      <c r="A4" s="67" t="s">
        <v>207</v>
      </c>
      <c r="B4" s="68" t="s">
        <v>208</v>
      </c>
      <c r="C4" s="67" t="s">
        <v>209</v>
      </c>
      <c r="D4" s="67" t="s">
        <v>150</v>
      </c>
      <c r="E4" s="69" t="s">
        <v>210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2"/>
    </row>
    <row r="5" ht="20.25" customHeight="1" spans="1:16">
      <c r="A5" s="67"/>
      <c r="B5" s="71"/>
      <c r="C5" s="67"/>
      <c r="D5" s="67"/>
      <c r="E5" s="69" t="s">
        <v>211</v>
      </c>
      <c r="F5" s="70"/>
      <c r="G5" s="70"/>
      <c r="H5" s="72"/>
      <c r="I5" s="69" t="s">
        <v>212</v>
      </c>
      <c r="J5" s="70"/>
      <c r="K5" s="70"/>
      <c r="L5" s="72"/>
      <c r="M5" s="67" t="s">
        <v>213</v>
      </c>
      <c r="N5" s="67"/>
      <c r="O5" s="67"/>
      <c r="P5" s="67"/>
    </row>
    <row r="6" ht="20.25" customHeight="1" spans="1:16">
      <c r="A6" s="67"/>
      <c r="B6" s="71"/>
      <c r="C6" s="67"/>
      <c r="D6" s="67"/>
      <c r="E6" s="67" t="s">
        <v>214</v>
      </c>
      <c r="F6" s="73" t="s">
        <v>215</v>
      </c>
      <c r="G6" s="73" t="s">
        <v>216</v>
      </c>
      <c r="H6" s="73" t="s">
        <v>217</v>
      </c>
      <c r="I6" s="67" t="s">
        <v>214</v>
      </c>
      <c r="J6" s="67" t="s">
        <v>218</v>
      </c>
      <c r="K6" s="67" t="s">
        <v>219</v>
      </c>
      <c r="L6" s="85" t="s">
        <v>220</v>
      </c>
      <c r="M6" s="67" t="s">
        <v>214</v>
      </c>
      <c r="N6" s="67" t="s">
        <v>218</v>
      </c>
      <c r="O6" s="67" t="s">
        <v>219</v>
      </c>
      <c r="P6" s="85" t="s">
        <v>220</v>
      </c>
    </row>
    <row r="7" ht="20.25" customHeight="1" spans="1:16">
      <c r="A7" s="67"/>
      <c r="B7" s="74"/>
      <c r="C7" s="67"/>
      <c r="D7" s="67"/>
      <c r="E7" s="75" t="s">
        <v>221</v>
      </c>
      <c r="F7" s="76"/>
      <c r="G7" s="76"/>
      <c r="H7" s="76"/>
      <c r="I7" s="75" t="s">
        <v>221</v>
      </c>
      <c r="J7" s="75" t="s">
        <v>222</v>
      </c>
      <c r="K7" s="75" t="s">
        <v>223</v>
      </c>
      <c r="L7" s="75" t="s">
        <v>224</v>
      </c>
      <c r="M7" s="75" t="s">
        <v>221</v>
      </c>
      <c r="N7" s="75" t="s">
        <v>222</v>
      </c>
      <c r="O7" s="75" t="s">
        <v>223</v>
      </c>
      <c r="P7" s="75" t="s">
        <v>224</v>
      </c>
    </row>
    <row r="8" ht="24" customHeight="1" spans="1:17">
      <c r="A8" s="77" t="e">
        <f>'土地开发整理项目总预算及分年度预算表 '!A10:B10</f>
        <v>#REF!</v>
      </c>
      <c r="B8" s="78" t="str">
        <f>'土地开发整理项目总预算及分年度预算表 '!C10</f>
        <v>杭锦旗</v>
      </c>
      <c r="C8" s="78" t="e">
        <f>#REF!</f>
        <v>#REF!</v>
      </c>
      <c r="D8" s="79" t="e">
        <f>#REF!</f>
        <v>#REF!</v>
      </c>
      <c r="E8" s="79">
        <v>0</v>
      </c>
      <c r="F8" s="79">
        <f>F31*D28/4</f>
        <v>387.861258347627</v>
      </c>
      <c r="G8" s="79">
        <f>F8</f>
        <v>387.861258347627</v>
      </c>
      <c r="H8" s="79">
        <f>G8</f>
        <v>387.861258347627</v>
      </c>
      <c r="I8" s="79">
        <f>F37*D28/2</f>
        <v>772.87083743646</v>
      </c>
      <c r="J8" s="86">
        <f>I8</f>
        <v>772.87083743646</v>
      </c>
      <c r="K8" s="86">
        <f>F38*D28/2</f>
        <v>719.210888048285</v>
      </c>
      <c r="L8" s="86">
        <f>K8</f>
        <v>719.210888048285</v>
      </c>
      <c r="M8" s="86">
        <f>Q8/6</f>
        <v>90.7586157468667</v>
      </c>
      <c r="N8" s="86">
        <f>Q8/3</f>
        <v>181.517231493733</v>
      </c>
      <c r="O8" s="86">
        <f>N8</f>
        <v>181.517231493733</v>
      </c>
      <c r="P8" s="86">
        <f>Q8-O8-N8-M8</f>
        <v>90.7586157468667</v>
      </c>
      <c r="Q8" s="62">
        <f>[2]工程施工费预算表总!$C$7</f>
        <v>544.5516944812</v>
      </c>
    </row>
    <row r="9" ht="24" customHeight="1" spans="1:16">
      <c r="A9" s="77"/>
      <c r="B9" s="78"/>
      <c r="C9" s="78" t="s">
        <v>225</v>
      </c>
      <c r="D9" s="79" t="e">
        <f>#REF!</f>
        <v>#REF!</v>
      </c>
      <c r="E9" s="79"/>
      <c r="F9" s="79">
        <v>0</v>
      </c>
      <c r="G9" s="79" t="e">
        <f>D9/3</f>
        <v>#REF!</v>
      </c>
      <c r="H9" s="79">
        <v>0</v>
      </c>
      <c r="I9" s="79">
        <v>0</v>
      </c>
      <c r="J9" s="86" t="e">
        <f>G9</f>
        <v>#REF!</v>
      </c>
      <c r="K9" s="86" t="e">
        <f>J9</f>
        <v>#REF!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</row>
    <row r="10" ht="24" customHeight="1" spans="1:17">
      <c r="A10" s="77"/>
      <c r="B10" s="78"/>
      <c r="C10" s="78" t="s">
        <v>178</v>
      </c>
      <c r="D10" s="79" t="e">
        <f>#REF!</f>
        <v>#REF!</v>
      </c>
      <c r="E10" s="79">
        <v>0</v>
      </c>
      <c r="F10" s="79">
        <f>F31*[3]工程施工费预算表总!$C$10/3</f>
        <v>22.0316950061699</v>
      </c>
      <c r="G10" s="79">
        <f>F10</f>
        <v>22.0316950061699</v>
      </c>
      <c r="H10" s="79">
        <f>G10</f>
        <v>22.0316950061699</v>
      </c>
      <c r="I10" s="79">
        <f>F37*[3]工程施工费预算表总!$C$10/2</f>
        <v>32.9260544906663</v>
      </c>
      <c r="J10" s="86">
        <f>I10</f>
        <v>32.9260544906663</v>
      </c>
      <c r="K10" s="86">
        <f>F38*[3]工程施工费预算表总!$C$10/2</f>
        <v>30.6400186720789</v>
      </c>
      <c r="L10" s="86">
        <f>K10</f>
        <v>30.6400186720789</v>
      </c>
      <c r="M10" s="86">
        <f>Q10/6</f>
        <v>5.47658602533333</v>
      </c>
      <c r="N10" s="86">
        <f>Q10/3</f>
        <v>10.9531720506667</v>
      </c>
      <c r="O10" s="86">
        <f>N10</f>
        <v>10.9531720506667</v>
      </c>
      <c r="P10" s="86">
        <f>Q10-O10-N10-M10</f>
        <v>5.47658602533333</v>
      </c>
      <c r="Q10" s="62">
        <f>[2]工程施工费预算表总!$C$10</f>
        <v>32.859516152</v>
      </c>
    </row>
    <row r="11" ht="24" customHeight="1" spans="1:17">
      <c r="A11" s="77"/>
      <c r="B11" s="78"/>
      <c r="C11" s="78" t="e">
        <f>#REF!</f>
        <v>#REF!</v>
      </c>
      <c r="D11" s="79" t="e">
        <f>#REF!</f>
        <v>#REF!</v>
      </c>
      <c r="E11" s="79">
        <v>0</v>
      </c>
      <c r="F11" s="79">
        <f>F31*D29</f>
        <v>77.8478646259773</v>
      </c>
      <c r="G11" s="79">
        <v>0</v>
      </c>
      <c r="H11" s="79">
        <v>0</v>
      </c>
      <c r="I11" s="79">
        <v>0</v>
      </c>
      <c r="J11" s="86">
        <f>F37*D29</f>
        <v>77.561683503066</v>
      </c>
      <c r="K11" s="86">
        <f>F38*D29</f>
        <v>72.1766232709567</v>
      </c>
      <c r="L11" s="86">
        <v>0</v>
      </c>
      <c r="M11" s="86">
        <v>0</v>
      </c>
      <c r="N11" s="86">
        <f>Q11</f>
        <v>18.665614257272</v>
      </c>
      <c r="O11" s="86">
        <v>0</v>
      </c>
      <c r="P11" s="86">
        <v>0</v>
      </c>
      <c r="Q11" s="62">
        <f>[2]工程施工费预算表总!$C$11</f>
        <v>18.665614257272</v>
      </c>
    </row>
    <row r="12" ht="24" customHeight="1" spans="1:16">
      <c r="A12" s="77"/>
      <c r="B12" s="78"/>
      <c r="C12" s="78" t="s">
        <v>226</v>
      </c>
      <c r="D12" s="79">
        <f>设备费预算表!G8/10000</f>
        <v>0</v>
      </c>
      <c r="E12" s="79"/>
      <c r="F12" s="79">
        <v>0</v>
      </c>
      <c r="G12" s="79">
        <f>D12/3</f>
        <v>0</v>
      </c>
      <c r="H12" s="79">
        <v>0</v>
      </c>
      <c r="I12" s="79">
        <v>0</v>
      </c>
      <c r="J12" s="86">
        <f>G12</f>
        <v>0</v>
      </c>
      <c r="K12" s="86">
        <f>J12</f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</row>
    <row r="13" ht="24" customHeight="1" spans="1:16">
      <c r="A13" s="77"/>
      <c r="B13" s="78"/>
      <c r="C13" s="78" t="s">
        <v>227</v>
      </c>
      <c r="D13" s="79" t="e">
        <f>#REF!</f>
        <v>#REF!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6">
        <v>0</v>
      </c>
      <c r="K13" s="86">
        <v>0</v>
      </c>
      <c r="L13" s="86">
        <v>0</v>
      </c>
      <c r="M13" s="86" t="e">
        <f>D13</f>
        <v>#REF!</v>
      </c>
      <c r="N13" s="86">
        <v>0</v>
      </c>
      <c r="O13" s="86">
        <v>0</v>
      </c>
      <c r="P13" s="86">
        <v>0</v>
      </c>
    </row>
    <row r="14" ht="24" customHeight="1" spans="1:16">
      <c r="A14" s="77"/>
      <c r="B14" s="78"/>
      <c r="C14" s="78" t="s">
        <v>228</v>
      </c>
      <c r="D14" s="79" t="e">
        <f>#REF!</f>
        <v>#REF!</v>
      </c>
      <c r="E14" s="79">
        <v>0</v>
      </c>
      <c r="F14" s="79" t="e">
        <f>D14/12</f>
        <v>#REF!</v>
      </c>
      <c r="G14" s="79">
        <v>0</v>
      </c>
      <c r="H14" s="79" t="e">
        <f>F14</f>
        <v>#REF!</v>
      </c>
      <c r="I14" s="79" t="e">
        <f>H14</f>
        <v>#REF!</v>
      </c>
      <c r="J14" s="86" t="e">
        <f>I14</f>
        <v>#REF!</v>
      </c>
      <c r="K14" s="86" t="e">
        <f>D14/4</f>
        <v>#REF!</v>
      </c>
      <c r="L14" s="86" t="e">
        <f>K14</f>
        <v>#REF!</v>
      </c>
      <c r="M14" s="86" t="e">
        <f>I14</f>
        <v>#REF!</v>
      </c>
      <c r="N14" s="86" t="e">
        <f>(D14-L14-K14-J14-I14-H14-G14-F14-M14)/2</f>
        <v>#REF!</v>
      </c>
      <c r="O14" s="86" t="e">
        <f>N14</f>
        <v>#REF!</v>
      </c>
      <c r="P14" s="86">
        <v>0</v>
      </c>
    </row>
    <row r="15" ht="24" customHeight="1" spans="1:16">
      <c r="A15" s="77"/>
      <c r="B15" s="78"/>
      <c r="C15" s="78" t="s">
        <v>229</v>
      </c>
      <c r="D15" s="79" t="e">
        <f>#REF!</f>
        <v>#REF!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6">
        <v>0</v>
      </c>
      <c r="K15" s="86">
        <v>0</v>
      </c>
      <c r="L15" s="86">
        <f>H15</f>
        <v>0</v>
      </c>
      <c r="M15" s="86">
        <v>0</v>
      </c>
      <c r="N15" s="86">
        <v>0</v>
      </c>
      <c r="O15" s="86">
        <v>0</v>
      </c>
      <c r="P15" s="86" t="e">
        <f>D15</f>
        <v>#REF!</v>
      </c>
    </row>
    <row r="16" ht="24" customHeight="1" spans="1:16">
      <c r="A16" s="77"/>
      <c r="B16" s="78"/>
      <c r="C16" s="78" t="s">
        <v>230</v>
      </c>
      <c r="D16" s="79" t="e">
        <f>#REF!</f>
        <v>#REF!</v>
      </c>
      <c r="E16" s="79">
        <v>0</v>
      </c>
      <c r="F16" s="79">
        <v>0</v>
      </c>
      <c r="G16" s="79">
        <v>0</v>
      </c>
      <c r="H16" s="79">
        <f>F16</f>
        <v>0</v>
      </c>
      <c r="I16" s="79">
        <f>H16/2</f>
        <v>0</v>
      </c>
      <c r="J16" s="86" t="e">
        <f>D16/30</f>
        <v>#REF!</v>
      </c>
      <c r="K16" s="86" t="e">
        <f>D16/12</f>
        <v>#REF!</v>
      </c>
      <c r="L16" s="86" t="e">
        <f>K16</f>
        <v>#REF!</v>
      </c>
      <c r="M16" s="86">
        <f>I16</f>
        <v>0</v>
      </c>
      <c r="N16" s="86" t="e">
        <f>(D16-L16-K16-J16-I16-H16-G16-F16-M16)/3</f>
        <v>#REF!</v>
      </c>
      <c r="O16" s="86" t="e">
        <f>N16</f>
        <v>#REF!</v>
      </c>
      <c r="P16" s="86" t="e">
        <f>O16</f>
        <v>#REF!</v>
      </c>
    </row>
    <row r="17" ht="24" customHeight="1" spans="1:16">
      <c r="A17" s="77"/>
      <c r="B17" s="78"/>
      <c r="C17" s="78" t="s">
        <v>231</v>
      </c>
      <c r="D17" s="79" t="e">
        <f>#REF!</f>
        <v>#REF!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86">
        <f>G17</f>
        <v>0</v>
      </c>
      <c r="K17" s="86">
        <v>0</v>
      </c>
      <c r="L17" s="86" t="e">
        <f>D17/3</f>
        <v>#REF!</v>
      </c>
      <c r="M17" s="86">
        <v>0</v>
      </c>
      <c r="N17" s="86" t="e">
        <f>L17</f>
        <v>#REF!</v>
      </c>
      <c r="O17" s="86" t="e">
        <f>N17</f>
        <v>#REF!</v>
      </c>
      <c r="P17" s="86">
        <v>0</v>
      </c>
    </row>
    <row r="18" ht="20.25" customHeight="1" spans="1:16">
      <c r="A18" s="78" t="s">
        <v>232</v>
      </c>
      <c r="B18" s="78" t="s">
        <v>233</v>
      </c>
      <c r="C18" s="78" t="s">
        <v>234</v>
      </c>
      <c r="D18" s="79" t="e">
        <f>SUM(D8:D17)</f>
        <v>#REF!</v>
      </c>
      <c r="E18" s="79">
        <f t="shared" ref="E18:P18" si="0">SUM(E8:E17)</f>
        <v>0</v>
      </c>
      <c r="F18" s="79" t="e">
        <f t="shared" si="0"/>
        <v>#REF!</v>
      </c>
      <c r="G18" s="79" t="e">
        <f t="shared" si="0"/>
        <v>#REF!</v>
      </c>
      <c r="H18" s="79" t="e">
        <f t="shared" si="0"/>
        <v>#REF!</v>
      </c>
      <c r="I18" s="79" t="e">
        <f t="shared" si="0"/>
        <v>#REF!</v>
      </c>
      <c r="J18" s="79" t="e">
        <f t="shared" si="0"/>
        <v>#REF!</v>
      </c>
      <c r="K18" s="79" t="e">
        <f t="shared" si="0"/>
        <v>#REF!</v>
      </c>
      <c r="L18" s="79" t="e">
        <f t="shared" si="0"/>
        <v>#REF!</v>
      </c>
      <c r="M18" s="79" t="e">
        <f t="shared" si="0"/>
        <v>#REF!</v>
      </c>
      <c r="N18" s="79" t="e">
        <f t="shared" si="0"/>
        <v>#REF!</v>
      </c>
      <c r="O18" s="79" t="e">
        <f t="shared" si="0"/>
        <v>#REF!</v>
      </c>
      <c r="P18" s="79" t="e">
        <f t="shared" si="0"/>
        <v>#REF!</v>
      </c>
    </row>
    <row r="19" ht="15.75" customHeight="1" spans="1:16">
      <c r="A19" s="80" t="str">
        <f>'土地开发整理项目总预算及分年度预算表 '!A3:N3</f>
        <v>编制单位：内蒙古正誉不动产评估咨询有限责任公司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7"/>
      <c r="N19" s="88" t="s">
        <v>235</v>
      </c>
      <c r="O19" s="88"/>
      <c r="P19" s="89"/>
    </row>
    <row r="21" spans="9:11">
      <c r="I21" s="62">
        <v>1974.54</v>
      </c>
      <c r="K21" s="62">
        <v>1837.45</v>
      </c>
    </row>
    <row r="22" spans="4:17">
      <c r="D22" s="82"/>
      <c r="E22" s="82"/>
      <c r="F22" s="82">
        <v>1981.82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</row>
    <row r="23" spans="4:17">
      <c r="D23" s="82"/>
      <c r="E23" s="82"/>
      <c r="F23" s="82"/>
      <c r="G23" s="82"/>
      <c r="H23" s="82"/>
      <c r="I23" s="82"/>
      <c r="J23" s="90">
        <v>1063.324518288</v>
      </c>
      <c r="K23" s="90">
        <v>966.658652989091</v>
      </c>
      <c r="L23" s="90">
        <v>966.658652989091</v>
      </c>
      <c r="M23" s="90">
        <v>966.658652989091</v>
      </c>
      <c r="N23" s="90">
        <v>1353.32211418473</v>
      </c>
      <c r="O23" s="90">
        <v>0</v>
      </c>
      <c r="P23" s="90">
        <v>0</v>
      </c>
      <c r="Q23" s="82"/>
    </row>
    <row r="24" spans="4:17">
      <c r="D24" s="82"/>
      <c r="E24" s="82"/>
      <c r="F24" s="82"/>
      <c r="G24" s="82"/>
      <c r="H24" s="82"/>
      <c r="I24" s="82"/>
      <c r="J24" s="90">
        <v>25.684828224</v>
      </c>
      <c r="K24" s="90">
        <v>23.34984384</v>
      </c>
      <c r="L24" s="90">
        <v>23.34984384</v>
      </c>
      <c r="M24" s="90">
        <v>23.34984384</v>
      </c>
      <c r="N24" s="90">
        <v>32.689781376</v>
      </c>
      <c r="O24" s="90">
        <v>0</v>
      </c>
      <c r="P24" s="90">
        <v>0</v>
      </c>
      <c r="Q24" s="82"/>
    </row>
    <row r="25" spans="4:17">
      <c r="D25" s="82"/>
      <c r="E25" s="82"/>
      <c r="F25" s="82"/>
      <c r="G25" s="82"/>
      <c r="H25" s="82"/>
      <c r="I25" s="82"/>
      <c r="J25" s="90">
        <v>69.753240536</v>
      </c>
      <c r="K25" s="90">
        <v>69.753240536</v>
      </c>
      <c r="L25" s="90">
        <v>69.753240536</v>
      </c>
      <c r="M25" s="90">
        <v>69.753240536</v>
      </c>
      <c r="N25" s="90">
        <v>69.753240536</v>
      </c>
      <c r="O25" s="90">
        <v>0</v>
      </c>
      <c r="P25" s="90">
        <v>0</v>
      </c>
      <c r="Q25" s="82"/>
    </row>
    <row r="26" spans="4:17"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</row>
    <row r="27" spans="4:17">
      <c r="D27" s="82"/>
      <c r="E27" s="82"/>
      <c r="F27" s="82"/>
      <c r="G27" s="82"/>
      <c r="H27" s="82"/>
      <c r="I27" s="82"/>
      <c r="J27" s="90">
        <v>48.810447318</v>
      </c>
      <c r="K27" s="90">
        <v>44.3731339254545</v>
      </c>
      <c r="L27" s="90">
        <v>44.3731339254545</v>
      </c>
      <c r="M27" s="90">
        <v>44.3731339254545</v>
      </c>
      <c r="N27" s="90">
        <v>62.1223874956364</v>
      </c>
      <c r="O27" s="90">
        <v>0</v>
      </c>
      <c r="P27" s="90">
        <v>0</v>
      </c>
      <c r="Q27" s="82"/>
    </row>
    <row r="28" spans="4:17">
      <c r="D28" s="82">
        <f>[3]工程施工费预算表总!$C$7</f>
        <v>4535.60848436</v>
      </c>
      <c r="E28" s="82"/>
      <c r="F28" s="82"/>
      <c r="G28" s="82"/>
      <c r="H28" s="82"/>
      <c r="I28" s="82"/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/>
      <c r="P28" s="90"/>
      <c r="Q28" s="82"/>
    </row>
    <row r="29" spans="4:17">
      <c r="D29" s="82">
        <f>[3]工程施工费预算表总!$C$11</f>
        <v>227.5861714</v>
      </c>
      <c r="E29" s="82"/>
      <c r="F29" s="82"/>
      <c r="G29" s="82"/>
      <c r="H29" s="82"/>
      <c r="I29" s="82"/>
      <c r="J29" s="90">
        <v>2.654860648</v>
      </c>
      <c r="K29" s="90">
        <v>2.654860648</v>
      </c>
      <c r="L29" s="90">
        <v>2.654860648</v>
      </c>
      <c r="M29" s="90">
        <v>2.654860648</v>
      </c>
      <c r="N29" s="90">
        <v>2.654860648</v>
      </c>
      <c r="O29" s="90">
        <v>0</v>
      </c>
      <c r="P29" s="90">
        <v>0</v>
      </c>
      <c r="Q29" s="82"/>
    </row>
    <row r="30" spans="4:17"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6:6">
      <c r="F31" s="83">
        <f>1-F37-F38</f>
        <v>0.342058852464958</v>
      </c>
    </row>
    <row r="32" spans="6:6">
      <c r="F32" s="84"/>
    </row>
    <row r="33" spans="6:6">
      <c r="F33" s="84"/>
    </row>
    <row r="34" spans="6:6">
      <c r="F34" s="84"/>
    </row>
    <row r="35" spans="6:6">
      <c r="F35" s="84"/>
    </row>
    <row r="36" spans="6:6">
      <c r="F36" s="84"/>
    </row>
    <row r="37" spans="6:6">
      <c r="F37" s="84">
        <v>0.34080138975907</v>
      </c>
    </row>
    <row r="38" spans="6:6">
      <c r="F38" s="84">
        <v>0.317139757775971</v>
      </c>
    </row>
  </sheetData>
  <mergeCells count="18">
    <mergeCell ref="A1:B1"/>
    <mergeCell ref="C1:P1"/>
    <mergeCell ref="A3:P3"/>
    <mergeCell ref="E4:P4"/>
    <mergeCell ref="E5:H5"/>
    <mergeCell ref="I5:L5"/>
    <mergeCell ref="M5:P5"/>
    <mergeCell ref="A19:L19"/>
    <mergeCell ref="N19:P19"/>
    <mergeCell ref="A4:A7"/>
    <mergeCell ref="A8:A17"/>
    <mergeCell ref="B4:B7"/>
    <mergeCell ref="B8:B17"/>
    <mergeCell ref="C4:C7"/>
    <mergeCell ref="D4:D7"/>
    <mergeCell ref="F6:F7"/>
    <mergeCell ref="G6:G7"/>
    <mergeCell ref="H6:H7"/>
  </mergeCells>
  <printOptions horizontalCentered="1"/>
  <pageMargins left="0.94" right="0.94" top="0.98" bottom="0.98" header="0.51" footer="0.51"/>
  <pageSetup paperSize="9" scale="62" firstPageNumber="29" orientation="landscape" useFirstPageNumber="1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view="pageBreakPreview" zoomScale="115" zoomScaleNormal="100" workbookViewId="0">
      <selection activeCell="K14" sqref="K14"/>
    </sheetView>
  </sheetViews>
  <sheetFormatPr defaultColWidth="9" defaultRowHeight="14.25" outlineLevelCol="7"/>
  <cols>
    <col min="1" max="1" width="9.1" customWidth="1"/>
    <col min="3" max="3" width="31" customWidth="1"/>
    <col min="5" max="5" width="9.1" customWidth="1"/>
    <col min="6" max="6" width="9.7" customWidth="1"/>
    <col min="7" max="7" width="14.1" customWidth="1"/>
  </cols>
  <sheetData>
    <row r="1" ht="18.75" spans="1:8">
      <c r="A1" s="45" t="s">
        <v>236</v>
      </c>
      <c r="B1" s="45"/>
      <c r="C1" s="46" t="s">
        <v>237</v>
      </c>
      <c r="D1" s="46"/>
      <c r="E1" s="46"/>
      <c r="F1" s="46"/>
      <c r="G1" s="46"/>
      <c r="H1" s="47"/>
    </row>
    <row r="2" ht="18.75" spans="1:8">
      <c r="A2" s="45"/>
      <c r="B2" s="45"/>
      <c r="C2" s="46"/>
      <c r="D2" s="46"/>
      <c r="E2" s="46"/>
      <c r="F2" s="46"/>
      <c r="G2" s="46"/>
      <c r="H2" s="47"/>
    </row>
    <row r="3" spans="1:8">
      <c r="A3" s="48" t="e">
        <f>工程施工费单价汇总表!A2</f>
        <v>#REF!</v>
      </c>
      <c r="B3" s="48"/>
      <c r="C3" s="48"/>
      <c r="D3" s="48"/>
      <c r="E3" s="48"/>
      <c r="F3" s="48"/>
      <c r="G3" s="49" t="s">
        <v>238</v>
      </c>
      <c r="H3" s="49"/>
    </row>
    <row r="4" spans="1:8">
      <c r="A4" s="50" t="s">
        <v>59</v>
      </c>
      <c r="B4" s="50" t="s">
        <v>239</v>
      </c>
      <c r="C4" s="50" t="s">
        <v>240</v>
      </c>
      <c r="D4" s="50" t="s">
        <v>63</v>
      </c>
      <c r="E4" s="50" t="s">
        <v>62</v>
      </c>
      <c r="F4" s="50" t="s">
        <v>13</v>
      </c>
      <c r="G4" s="50" t="s">
        <v>241</v>
      </c>
      <c r="H4" s="51" t="s">
        <v>242</v>
      </c>
    </row>
    <row r="5" spans="1:8">
      <c r="A5" s="50"/>
      <c r="B5" s="50"/>
      <c r="C5" s="52" t="s">
        <v>151</v>
      </c>
      <c r="D5" s="52" t="s">
        <v>152</v>
      </c>
      <c r="E5" s="52" t="s">
        <v>153</v>
      </c>
      <c r="F5" s="52" t="s">
        <v>154</v>
      </c>
      <c r="G5" s="52" t="s">
        <v>156</v>
      </c>
      <c r="H5" s="53"/>
    </row>
    <row r="6" ht="16.5" spans="1:8">
      <c r="A6" s="50">
        <v>1</v>
      </c>
      <c r="B6" s="50"/>
      <c r="C6" s="50" t="s">
        <v>243</v>
      </c>
      <c r="D6" s="50" t="s">
        <v>91</v>
      </c>
      <c r="E6" s="54"/>
      <c r="F6" s="55">
        <v>800</v>
      </c>
      <c r="G6" s="55">
        <f>E6*F6</f>
        <v>0</v>
      </c>
      <c r="H6" s="53"/>
    </row>
    <row r="7" spans="1:8">
      <c r="A7" s="50">
        <v>2</v>
      </c>
      <c r="B7" s="50"/>
      <c r="C7" s="56" t="s">
        <v>241</v>
      </c>
      <c r="D7" s="52"/>
      <c r="E7" s="55"/>
      <c r="F7" s="55"/>
      <c r="G7" s="57">
        <f>SUM(G6:G6)</f>
        <v>0</v>
      </c>
      <c r="H7" s="53"/>
    </row>
    <row r="8" spans="1:8">
      <c r="A8" s="56" t="s">
        <v>150</v>
      </c>
      <c r="B8" s="56"/>
      <c r="C8" s="56"/>
      <c r="D8" s="52"/>
      <c r="E8" s="58"/>
      <c r="F8" s="58"/>
      <c r="G8" s="59">
        <f>G7</f>
        <v>0</v>
      </c>
      <c r="H8" s="53"/>
    </row>
    <row r="9" spans="1:8">
      <c r="A9" s="60" t="s">
        <v>244</v>
      </c>
      <c r="B9" s="60"/>
      <c r="C9" s="60"/>
      <c r="D9" s="60"/>
      <c r="E9" s="60"/>
      <c r="F9" s="60"/>
      <c r="G9" s="60"/>
      <c r="H9" s="60"/>
    </row>
    <row r="10" spans="1:8">
      <c r="A10" s="61"/>
      <c r="B10" s="61"/>
      <c r="C10" s="61"/>
      <c r="D10" s="61"/>
      <c r="E10" s="61"/>
      <c r="F10" s="61"/>
      <c r="G10" s="61"/>
      <c r="H10" s="61"/>
    </row>
  </sheetData>
  <mergeCells count="8">
    <mergeCell ref="C1:G1"/>
    <mergeCell ref="A3:F3"/>
    <mergeCell ref="G3:H3"/>
    <mergeCell ref="A8:C8"/>
    <mergeCell ref="A4:A5"/>
    <mergeCell ref="B4:B5"/>
    <mergeCell ref="B6:B7"/>
    <mergeCell ref="A9:H10"/>
  </mergeCells>
  <printOptions horizontalCentered="1"/>
  <pageMargins left="0.75" right="0.75" top="0.98" bottom="0.98" header="0.51" footer="0.51"/>
  <pageSetup paperSize="9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0"/>
  <sheetViews>
    <sheetView view="pageBreakPreview" zoomScaleNormal="100" workbookViewId="0">
      <selection activeCell="C10" sqref="C10"/>
    </sheetView>
  </sheetViews>
  <sheetFormatPr defaultColWidth="9" defaultRowHeight="14.25"/>
  <cols>
    <col min="1" max="2" width="5.2" style="2" customWidth="1"/>
    <col min="3" max="3" width="6" style="2" customWidth="1"/>
    <col min="4" max="4" width="8.7" style="2" customWidth="1"/>
    <col min="5" max="5" width="5.1" style="2" customWidth="1"/>
    <col min="6" max="6" width="5.7" style="2" customWidth="1"/>
    <col min="7" max="7" width="9.4" style="2" customWidth="1"/>
    <col min="8" max="8" width="9" style="2"/>
    <col min="9" max="9" width="3.1" style="2" customWidth="1"/>
    <col min="10" max="10" width="8.7" style="2" customWidth="1"/>
    <col min="11" max="11" width="10.4" style="2" customWidth="1"/>
    <col min="12" max="12" width="3.7" style="2" customWidth="1"/>
    <col min="13" max="13" width="9.7" style="2" customWidth="1"/>
    <col min="14" max="14" width="8.7" style="2" customWidth="1"/>
    <col min="15" max="15" width="7.4" style="2" customWidth="1"/>
    <col min="16" max="19" width="8.9" style="2" customWidth="1"/>
    <col min="20" max="20" width="9.2" style="2" customWidth="1"/>
    <col min="21" max="21" width="7.5" style="2" customWidth="1"/>
    <col min="22" max="22" width="8.9" style="2" customWidth="1"/>
    <col min="23" max="23" width="11.7" style="2" customWidth="1"/>
    <col min="24" max="24" width="8.5" style="2" customWidth="1"/>
    <col min="25" max="25" width="8.9" style="2" customWidth="1"/>
    <col min="26" max="26" width="9.5" style="2" customWidth="1"/>
    <col min="27" max="16384" width="9" style="2"/>
  </cols>
  <sheetData>
    <row r="1" s="1" customFormat="1" ht="24.9" customHeight="1" spans="1:26">
      <c r="A1" s="3" t="s">
        <v>245</v>
      </c>
      <c r="B1" s="4" t="s">
        <v>246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ht="24.9" customHeight="1" spans="1:2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="1" customFormat="1" ht="24.9" customHeight="1" spans="1:26">
      <c r="A3" s="5" t="s">
        <v>247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7" t="s">
        <v>248</v>
      </c>
      <c r="P3" s="27"/>
      <c r="Q3" s="27"/>
      <c r="R3" s="27"/>
      <c r="S3" s="27"/>
      <c r="T3" s="27"/>
      <c r="U3" s="27"/>
      <c r="V3" s="40"/>
      <c r="W3" s="40"/>
      <c r="X3" s="40"/>
      <c r="Y3" s="40"/>
      <c r="Z3" s="40"/>
    </row>
    <row r="4" s="1" customFormat="1" ht="21.9" customHeight="1" spans="1:26">
      <c r="A4" s="6"/>
      <c r="B4" s="7" t="s">
        <v>249</v>
      </c>
      <c r="C4" s="8" t="s">
        <v>208</v>
      </c>
      <c r="D4" s="6" t="s">
        <v>250</v>
      </c>
      <c r="E4" s="9"/>
      <c r="F4" s="9"/>
      <c r="G4" s="7"/>
      <c r="H4" s="10" t="s">
        <v>251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4"/>
      <c r="Z4" s="8" t="s">
        <v>252</v>
      </c>
    </row>
    <row r="5" s="1" customFormat="1" ht="21.9" customHeight="1" spans="1:39">
      <c r="A5" s="11"/>
      <c r="B5" s="12"/>
      <c r="C5" s="13"/>
      <c r="D5" s="11"/>
      <c r="E5" s="14"/>
      <c r="F5" s="14"/>
      <c r="G5" s="12"/>
      <c r="H5" s="10" t="s">
        <v>253</v>
      </c>
      <c r="I5" s="29"/>
      <c r="J5" s="30"/>
      <c r="K5" s="10" t="s">
        <v>254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4"/>
      <c r="Z5" s="13"/>
      <c r="AM5" s="44"/>
    </row>
    <row r="6" s="1" customFormat="1" ht="21.9" customHeight="1" spans="1:26">
      <c r="A6" s="15" t="s">
        <v>255</v>
      </c>
      <c r="B6" s="12" t="s">
        <v>256</v>
      </c>
      <c r="C6" s="13"/>
      <c r="D6" s="11"/>
      <c r="E6" s="14"/>
      <c r="F6" s="14"/>
      <c r="G6" s="12"/>
      <c r="H6" s="8" t="s">
        <v>150</v>
      </c>
      <c r="I6" s="8" t="s">
        <v>257</v>
      </c>
      <c r="J6" s="8" t="s">
        <v>258</v>
      </c>
      <c r="K6" s="10" t="s">
        <v>211</v>
      </c>
      <c r="L6" s="28"/>
      <c r="M6" s="24"/>
      <c r="N6" s="10" t="s">
        <v>259</v>
      </c>
      <c r="O6" s="28"/>
      <c r="P6" s="28"/>
      <c r="Q6" s="28"/>
      <c r="R6" s="28"/>
      <c r="S6" s="28"/>
      <c r="T6" s="28"/>
      <c r="U6" s="28"/>
      <c r="V6" s="24"/>
      <c r="W6" s="10" t="s">
        <v>260</v>
      </c>
      <c r="X6" s="28"/>
      <c r="Y6" s="24"/>
      <c r="Z6" s="13"/>
    </row>
    <row r="7" s="1" customFormat="1" ht="21.9" customHeight="1" spans="1:26">
      <c r="A7" s="15" t="s">
        <v>261</v>
      </c>
      <c r="B7" s="12"/>
      <c r="C7" s="13"/>
      <c r="D7" s="11"/>
      <c r="E7" s="14"/>
      <c r="F7" s="14"/>
      <c r="G7" s="12"/>
      <c r="H7" s="16"/>
      <c r="I7" s="13"/>
      <c r="J7" s="13"/>
      <c r="K7" s="8" t="s">
        <v>150</v>
      </c>
      <c r="L7" s="8" t="s">
        <v>257</v>
      </c>
      <c r="M7" s="8" t="s">
        <v>258</v>
      </c>
      <c r="N7" s="31" t="s">
        <v>262</v>
      </c>
      <c r="O7" s="32"/>
      <c r="P7" s="33"/>
      <c r="Q7" s="41" t="s">
        <v>263</v>
      </c>
      <c r="R7" s="41"/>
      <c r="S7" s="41"/>
      <c r="T7" s="41" t="s">
        <v>264</v>
      </c>
      <c r="U7" s="41"/>
      <c r="V7" s="41"/>
      <c r="W7" s="8" t="str">
        <f>N9</f>
        <v>合计</v>
      </c>
      <c r="X7" s="8" t="str">
        <f>O9</f>
        <v>新增费</v>
      </c>
      <c r="Y7" s="8" t="str">
        <f>P9</f>
        <v>其他投资</v>
      </c>
      <c r="Z7" s="13"/>
    </row>
    <row r="8" s="1" customFormat="1" ht="21.9" customHeight="1" spans="1:26">
      <c r="A8" s="15" t="s">
        <v>265</v>
      </c>
      <c r="B8" s="12"/>
      <c r="C8" s="13"/>
      <c r="D8" s="17" t="s">
        <v>150</v>
      </c>
      <c r="E8" s="17" t="s">
        <v>266</v>
      </c>
      <c r="F8" s="17" t="s">
        <v>267</v>
      </c>
      <c r="G8" s="17" t="s">
        <v>268</v>
      </c>
      <c r="H8" s="16"/>
      <c r="I8" s="13"/>
      <c r="J8" s="13"/>
      <c r="K8" s="13"/>
      <c r="L8" s="13"/>
      <c r="M8" s="13"/>
      <c r="N8" s="34"/>
      <c r="O8" s="35"/>
      <c r="P8" s="36"/>
      <c r="Q8" s="41"/>
      <c r="R8" s="41"/>
      <c r="S8" s="41"/>
      <c r="T8" s="41"/>
      <c r="U8" s="41"/>
      <c r="V8" s="41"/>
      <c r="W8" s="13"/>
      <c r="X8" s="13"/>
      <c r="Y8" s="13"/>
      <c r="Z8" s="13"/>
    </row>
    <row r="9" s="1" customFormat="1" ht="21.9" customHeight="1" spans="1:26">
      <c r="A9" s="18" t="s">
        <v>269</v>
      </c>
      <c r="B9" s="19"/>
      <c r="C9" s="20"/>
      <c r="D9" s="17"/>
      <c r="E9" s="17"/>
      <c r="F9" s="17"/>
      <c r="G9" s="17"/>
      <c r="H9" s="21"/>
      <c r="I9" s="20"/>
      <c r="J9" s="20"/>
      <c r="K9" s="20"/>
      <c r="L9" s="20"/>
      <c r="M9" s="20"/>
      <c r="N9" s="37" t="str">
        <f>H6</f>
        <v>合计</v>
      </c>
      <c r="O9" s="38" t="str">
        <f>I6</f>
        <v>新增费</v>
      </c>
      <c r="P9" s="38" t="str">
        <f>J6</f>
        <v>其他投资</v>
      </c>
      <c r="Q9" s="17" t="s">
        <v>150</v>
      </c>
      <c r="R9" s="17" t="s">
        <v>257</v>
      </c>
      <c r="S9" s="17" t="s">
        <v>258</v>
      </c>
      <c r="T9" s="42" t="s">
        <v>150</v>
      </c>
      <c r="U9" s="43" t="s">
        <v>257</v>
      </c>
      <c r="V9" s="43" t="s">
        <v>258</v>
      </c>
      <c r="W9" s="20"/>
      <c r="X9" s="20"/>
      <c r="Y9" s="20"/>
      <c r="Z9" s="20"/>
    </row>
    <row r="10" s="1" customFormat="1" ht="146.25" customHeight="1" spans="1:26">
      <c r="A10" s="22" t="e">
        <f>#REF!</f>
        <v>#REF!</v>
      </c>
      <c r="B10" s="23"/>
      <c r="C10" s="8" t="s">
        <v>270</v>
      </c>
      <c r="D10" s="8">
        <v>1151.25</v>
      </c>
      <c r="E10" s="8"/>
      <c r="F10" s="8"/>
      <c r="G10" s="8">
        <f>D10</f>
        <v>1151.25</v>
      </c>
      <c r="H10" s="8" t="e">
        <f>ROUND(#REF!,2)</f>
        <v>#REF!</v>
      </c>
      <c r="I10" s="8"/>
      <c r="J10" s="8" t="e">
        <f>H10</f>
        <v>#REF!</v>
      </c>
      <c r="K10" s="8" t="e">
        <f>[4]预算总表!$D$13</f>
        <v>#REF!</v>
      </c>
      <c r="L10" s="8"/>
      <c r="M10" s="8" t="e">
        <f>K10</f>
        <v>#REF!</v>
      </c>
      <c r="N10" s="17">
        <f>[5]预算总表!$D$13</f>
        <v>1561.98097004565</v>
      </c>
      <c r="O10" s="17"/>
      <c r="P10" s="17">
        <f>N10</f>
        <v>1561.98097004565</v>
      </c>
      <c r="Q10" s="17">
        <f>[6]预算总表!$D$13</f>
        <v>1967.43940707385</v>
      </c>
      <c r="R10" s="17"/>
      <c r="S10" s="17">
        <f>Q10</f>
        <v>1967.43940707385</v>
      </c>
      <c r="T10" s="17">
        <f>[7]预算总表!$D$13</f>
        <v>685.773860070127</v>
      </c>
      <c r="U10" s="17"/>
      <c r="V10" s="17">
        <f>T10</f>
        <v>685.773860070127</v>
      </c>
      <c r="W10" s="8">
        <f>[8]预算总表!$D$13</f>
        <v>596.076374889272</v>
      </c>
      <c r="X10" s="8"/>
      <c r="Y10" s="8">
        <f>W10</f>
        <v>596.076374889272</v>
      </c>
      <c r="Z10" s="8">
        <f>D10</f>
        <v>1151.25</v>
      </c>
    </row>
    <row r="11" s="1" customFormat="1" ht="21.9" customHeight="1" spans="1:26">
      <c r="A11" s="10"/>
      <c r="B11" s="24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="1" customFormat="1" ht="21.9" customHeight="1" spans="1:26">
      <c r="A12" s="10"/>
      <c r="B12" s="24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="1" customFormat="1" ht="21.9" customHeight="1" spans="1:26">
      <c r="A13" s="10" t="s">
        <v>232</v>
      </c>
      <c r="B13" s="24"/>
      <c r="C13" s="17"/>
      <c r="D13" s="17">
        <f>D10</f>
        <v>1151.25</v>
      </c>
      <c r="E13" s="17"/>
      <c r="F13" s="17"/>
      <c r="G13" s="17">
        <f>G10</f>
        <v>1151.25</v>
      </c>
      <c r="H13" s="17" t="e">
        <f>H10</f>
        <v>#REF!</v>
      </c>
      <c r="I13" s="17"/>
      <c r="J13" s="17" t="e">
        <f>J10</f>
        <v>#REF!</v>
      </c>
      <c r="K13" s="17" t="e">
        <f>K10</f>
        <v>#REF!</v>
      </c>
      <c r="L13" s="17"/>
      <c r="M13" s="17" t="e">
        <f>M10</f>
        <v>#REF!</v>
      </c>
      <c r="N13" s="17">
        <f>N10</f>
        <v>1561.98097004565</v>
      </c>
      <c r="O13" s="17"/>
      <c r="P13" s="17">
        <f>P10</f>
        <v>1561.98097004565</v>
      </c>
      <c r="Q13" s="17">
        <f>Q10</f>
        <v>1967.43940707385</v>
      </c>
      <c r="R13" s="17"/>
      <c r="S13" s="17">
        <f>S10</f>
        <v>1967.43940707385</v>
      </c>
      <c r="T13" s="17">
        <f>T10</f>
        <v>685.773860070127</v>
      </c>
      <c r="U13" s="17"/>
      <c r="V13" s="17">
        <f>V10</f>
        <v>685.773860070127</v>
      </c>
      <c r="W13" s="17">
        <f>W10</f>
        <v>596.076374889272</v>
      </c>
      <c r="X13" s="17"/>
      <c r="Y13" s="17">
        <f>Y10</f>
        <v>596.076374889272</v>
      </c>
      <c r="Z13" s="17">
        <f>Z10</f>
        <v>1151.25</v>
      </c>
    </row>
    <row r="14" ht="15.75" spans="1:26">
      <c r="A14" s="25" t="s">
        <v>271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6" spans="16:19">
      <c r="P16" s="39" t="e">
        <f>J13-K13-W13-1795.23</f>
        <v>#REF!</v>
      </c>
      <c r="Q16" s="39"/>
      <c r="R16" s="39"/>
      <c r="S16" s="39"/>
    </row>
    <row r="17" spans="22:27">
      <c r="V17" s="2" t="e">
        <f>H10*0.1412</f>
        <v>#REF!</v>
      </c>
      <c r="AA17" s="2" t="e">
        <f>H13/Z13/15</f>
        <v>#REF!</v>
      </c>
    </row>
    <row r="18" spans="8:23">
      <c r="H18" s="2" t="e">
        <f>H10/D10</f>
        <v>#REF!</v>
      </c>
      <c r="W18" s="2" t="e">
        <f>H10*0.1545</f>
        <v>#REF!</v>
      </c>
    </row>
    <row r="19" ht="15.75" spans="6:14">
      <c r="F19" s="26"/>
      <c r="H19" s="2" t="e">
        <f>H18/15*10000</f>
        <v>#REF!</v>
      </c>
      <c r="N19" s="2">
        <f>Z10*15*800</f>
        <v>13815000</v>
      </c>
    </row>
    <row r="20" spans="14:15">
      <c r="N20" s="2">
        <f>N19*5</f>
        <v>69075000</v>
      </c>
      <c r="O20" s="2">
        <f>1425*Z10*15</f>
        <v>24607968.75</v>
      </c>
    </row>
    <row r="21" ht="17.25" customHeight="1" spans="10:26">
      <c r="J21" s="39" t="e">
        <f>H10+'[9]土地开发整理项目总预算及分年度预算表 '!$H$10+'[10]土地开发整理项目总预算及分年度预算表 '!$H$10</f>
        <v>#REF!</v>
      </c>
      <c r="K21" s="39"/>
      <c r="L21" s="39"/>
      <c r="M21" s="39"/>
      <c r="N21" s="39">
        <f>N20-O20</f>
        <v>44467031.25</v>
      </c>
      <c r="O21" s="2">
        <f>N20-O20</f>
        <v>44467031.25</v>
      </c>
      <c r="V21" s="2">
        <f>N19/D10</f>
        <v>12000</v>
      </c>
      <c r="Z21" s="2">
        <f>O21/Z10/15</f>
        <v>2575</v>
      </c>
    </row>
    <row r="22" spans="15:26">
      <c r="O22" s="2">
        <f>I10/O21*10000</f>
        <v>0</v>
      </c>
      <c r="Z22" s="2" t="e">
        <f>#REF!/20</f>
        <v>#REF!</v>
      </c>
    </row>
    <row r="23" spans="23:26">
      <c r="W23" s="2" t="e">
        <f>W13/J13</f>
        <v>#REF!</v>
      </c>
      <c r="Z23" s="2" t="e">
        <f>Z22/10</f>
        <v>#REF!</v>
      </c>
    </row>
    <row r="24" spans="11:26">
      <c r="K24" s="2" t="e">
        <f>K13/H13</f>
        <v>#REF!</v>
      </c>
      <c r="N24" s="2" t="e">
        <f>N13/H13</f>
        <v>#REF!</v>
      </c>
      <c r="Z24" s="2">
        <f>10*1000*12/10000</f>
        <v>12</v>
      </c>
    </row>
    <row r="25" spans="26:27">
      <c r="Z25" s="2" t="e">
        <f>Z24+Z23+Z22</f>
        <v>#REF!</v>
      </c>
      <c r="AA25" s="2" t="e">
        <f>Z25/H10</f>
        <v>#REF!</v>
      </c>
    </row>
    <row r="26" spans="11:27">
      <c r="K26" s="2" t="e">
        <f>K24*G13</f>
        <v>#REF!</v>
      </c>
      <c r="N26" s="2" t="e">
        <f>N24*G13</f>
        <v>#REF!</v>
      </c>
      <c r="W26" s="2" t="e">
        <f>W23*G13</f>
        <v>#REF!</v>
      </c>
      <c r="Z26" s="2" t="e">
        <f>O21/10000-Z25</f>
        <v>#REF!</v>
      </c>
      <c r="AA26" s="2" t="e">
        <f>Z26/O10</f>
        <v>#REF!</v>
      </c>
    </row>
    <row r="27" spans="26:26">
      <c r="Z27" s="2" t="e">
        <f>H10/Z26</f>
        <v>#REF!</v>
      </c>
    </row>
    <row r="28" spans="6:6">
      <c r="F28" s="2" t="e">
        <f>(F19-H10)/H10*100</f>
        <v>#REF!</v>
      </c>
    </row>
    <row r="29" spans="26:27">
      <c r="Z29" s="2">
        <v>1111.99</v>
      </c>
      <c r="AA29" s="2">
        <f>Z29/Z31</f>
        <v>0.704241318817725</v>
      </c>
    </row>
    <row r="30" spans="26:27">
      <c r="Z30" s="2">
        <v>467</v>
      </c>
      <c r="AA30" s="2">
        <f>Z30/Z31</f>
        <v>0.295758681182275</v>
      </c>
    </row>
    <row r="31" spans="26:26">
      <c r="Z31" s="2">
        <f>Z30+Z29</f>
        <v>1578.99</v>
      </c>
    </row>
    <row r="39" spans="21:24">
      <c r="U39" s="2">
        <v>1834.29</v>
      </c>
      <c r="V39" s="2">
        <v>1820.59</v>
      </c>
      <c r="W39" s="2">
        <v>962.16</v>
      </c>
      <c r="X39" s="2">
        <f>SUM(T39:W39)</f>
        <v>4617.04</v>
      </c>
    </row>
    <row r="40" spans="21:24">
      <c r="U40" s="2">
        <v>1821.42</v>
      </c>
      <c r="V40" s="2">
        <v>1807.48</v>
      </c>
      <c r="W40" s="2">
        <v>959.78</v>
      </c>
      <c r="X40" s="2">
        <f>SUM(T40:W40)</f>
        <v>4588.68</v>
      </c>
    </row>
  </sheetData>
  <mergeCells count="31">
    <mergeCell ref="B1:Z1"/>
    <mergeCell ref="A3:N3"/>
    <mergeCell ref="O3:Z3"/>
    <mergeCell ref="H4:Y4"/>
    <mergeCell ref="H5:J5"/>
    <mergeCell ref="K5:Y5"/>
    <mergeCell ref="K6:M6"/>
    <mergeCell ref="N6:V6"/>
    <mergeCell ref="W6:Y6"/>
    <mergeCell ref="A10:B10"/>
    <mergeCell ref="A13:B13"/>
    <mergeCell ref="A14:Z14"/>
    <mergeCell ref="C4:C9"/>
    <mergeCell ref="D8:D9"/>
    <mergeCell ref="E8:E9"/>
    <mergeCell ref="F8:F9"/>
    <mergeCell ref="G8:G9"/>
    <mergeCell ref="H6:H9"/>
    <mergeCell ref="I6:I9"/>
    <mergeCell ref="J6:J9"/>
    <mergeCell ref="K7:K9"/>
    <mergeCell ref="L7:L9"/>
    <mergeCell ref="M7:M9"/>
    <mergeCell ref="W7:W9"/>
    <mergeCell ref="X7:X9"/>
    <mergeCell ref="Y7:Y9"/>
    <mergeCell ref="Z4:Z9"/>
    <mergeCell ref="N7:P8"/>
    <mergeCell ref="Q7:S8"/>
    <mergeCell ref="T7:V8"/>
    <mergeCell ref="D4:G7"/>
  </mergeCells>
  <pageMargins left="0.75" right="0.75" top="1" bottom="1" header="0.5" footer="0.5"/>
  <pageSetup paperSize="9" scale="57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师大武装部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混凝土砂浆单价计算表</vt:lpstr>
      <vt:lpstr>封面</vt:lpstr>
      <vt:lpstr>设备清单表 </vt:lpstr>
      <vt:lpstr>工程施工费单价汇总表</vt:lpstr>
      <vt:lpstr>季度分月用款计划表 </vt:lpstr>
      <vt:lpstr>设备费预算表</vt:lpstr>
      <vt:lpstr>土地开发整理项目总预算及分年度预算表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愿做春风暖人心</cp:lastModifiedBy>
  <cp:revision>1</cp:revision>
  <dcterms:created xsi:type="dcterms:W3CDTF">2002-05-12T05:22:00Z</dcterms:created>
  <cp:lastPrinted>2024-04-09T07:33:00Z</cp:lastPrinted>
  <dcterms:modified xsi:type="dcterms:W3CDTF">2024-09-26T09:23:37Z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15D22DA5556A47F58A35C14DEE11723C_13</vt:lpwstr>
  </property>
</Properties>
</file>